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tirement planning spreadsheets\"/>
    </mc:Choice>
  </mc:AlternateContent>
  <xr:revisionPtr revIDLastSave="0" documentId="8_{D8328275-290F-4F98-9EDD-934F1C88613C}" xr6:coauthVersionLast="45" xr6:coauthVersionMax="45" xr10:uidLastSave="{00000000-0000-0000-0000-000000000000}"/>
  <bookViews>
    <workbookView xWindow="-108" yWindow="-108" windowWidth="23256" windowHeight="12456" tabRatio="740" xr2:uid="{00000000-000D-0000-FFFF-FFFF00000000}"/>
  </bookViews>
  <sheets>
    <sheet name="Inputs" sheetId="4" r:id="rId1"/>
    <sheet name="Instructions - Simulator sheet" sheetId="11" r:id="rId2"/>
    <sheet name="Simulator" sheetId="1" r:id="rId3"/>
    <sheet name="Example results" sheetId="6" r:id="rId4"/>
    <sheet name="Read me whenever!" sheetId="8" r:id="rId5"/>
  </sheets>
  <definedNames>
    <definedName name="_max1">Inputs!$L$3</definedName>
    <definedName name="_max2">Inputs!#REF!</definedName>
    <definedName name="_max3">Inputs!#REF!</definedName>
    <definedName name="_max4">Inputs!#REF!</definedName>
    <definedName name="_max5">Inputs!#REF!</definedName>
    <definedName name="_min1">Inputs!$G$19</definedName>
    <definedName name="_min2">Inputs!$C$37</definedName>
    <definedName name="_min3">Inputs!$C$38</definedName>
    <definedName name="_min4">Inputs!$C$39</definedName>
    <definedName name="_min5">Inputs!$C$40</definedName>
    <definedName name="alloc1">Inputs!$F$19</definedName>
    <definedName name="alloc2">Inputs!$F$21</definedName>
    <definedName name="alloc3">Inputs!$F$22</definedName>
    <definedName name="alloc4">Inputs!$F$23</definedName>
    <definedName name="alloc5">Inputs!$F$24</definedName>
    <definedName name="income">Inputs!$B$29</definedName>
    <definedName name="incrate">Inputs!$B$30</definedName>
    <definedName name="k">Inputs!$B$8</definedName>
    <definedName name="mean2">Inputs!$G$21</definedName>
    <definedName name="mean3">Inputs!$G$22</definedName>
    <definedName name="mean4">Inputs!$G$23</definedName>
    <definedName name="mean5">Inputs!$G$24</definedName>
    <definedName name="pension">Inputs!$B$27</definedName>
    <definedName name="prepen1">Inputs!$B$10</definedName>
    <definedName name="retroi">Inputs!$B$11</definedName>
    <definedName name="rinf">Inputs!$B$9</definedName>
    <definedName name="stdev2">Inputs!$H$21</definedName>
    <definedName name="stdev3">Inputs!$H$22</definedName>
    <definedName name="stdev4">Inputs!$H$23</definedName>
    <definedName name="stdev5">Inputs!$H$24</definedName>
    <definedName name="trans2">Simulator!$V$11</definedName>
    <definedName name="trans3">Simulator!$X$11</definedName>
    <definedName name="trans4">Simulator!$Z$11</definedName>
    <definedName name="trans5">Simulator!$AB$11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  <c r="P13" i="1"/>
  <c r="A13" i="1"/>
  <c r="B10" i="4"/>
  <c r="B13" i="1"/>
  <c r="D13" i="1"/>
  <c r="O12" i="1"/>
  <c r="O13" i="1"/>
  <c r="S12" i="1"/>
  <c r="R12" i="1"/>
  <c r="Q12" i="1"/>
  <c r="O23" i="4"/>
  <c r="O22" i="4"/>
  <c r="O21" i="4"/>
  <c r="B33" i="4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C111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BA111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Y111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W111" i="1"/>
  <c r="AU111" i="1"/>
  <c r="AT111" i="1"/>
  <c r="AS111" i="1"/>
  <c r="AM13" i="1"/>
  <c r="A14" i="1"/>
  <c r="B14" i="1"/>
  <c r="D14" i="1"/>
  <c r="O14" i="1"/>
  <c r="AM14" i="1"/>
  <c r="A15" i="1"/>
  <c r="B15" i="1"/>
  <c r="D15" i="1"/>
  <c r="O15" i="1"/>
  <c r="AM15" i="1"/>
  <c r="A16" i="1"/>
  <c r="B16" i="1"/>
  <c r="D16" i="1"/>
  <c r="O16" i="1"/>
  <c r="AM16" i="1"/>
  <c r="A17" i="1"/>
  <c r="B17" i="1"/>
  <c r="D17" i="1"/>
  <c r="O17" i="1"/>
  <c r="AM17" i="1"/>
  <c r="A18" i="1"/>
  <c r="B18" i="1"/>
  <c r="D18" i="1"/>
  <c r="O18" i="1"/>
  <c r="AM18" i="1"/>
  <c r="A19" i="1"/>
  <c r="B19" i="1"/>
  <c r="D19" i="1"/>
  <c r="O19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M109" i="1"/>
  <c r="AN109" i="1"/>
  <c r="AM110" i="1"/>
  <c r="AN110" i="1"/>
  <c r="AM111" i="1"/>
  <c r="AN111" i="1"/>
  <c r="AR111" i="1"/>
  <c r="AL111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A20" i="1"/>
  <c r="B20" i="1"/>
  <c r="D20" i="1"/>
  <c r="O20" i="1"/>
  <c r="A21" i="1"/>
  <c r="B21" i="1"/>
  <c r="D21" i="1"/>
  <c r="O21" i="1"/>
  <c r="A22" i="1"/>
  <c r="B22" i="1"/>
  <c r="D22" i="1"/>
  <c r="O22" i="1"/>
  <c r="A23" i="1"/>
  <c r="B23" i="1"/>
  <c r="D23" i="1"/>
  <c r="O23" i="1"/>
  <c r="A24" i="1"/>
  <c r="B24" i="1"/>
  <c r="D24" i="1"/>
  <c r="O24" i="1"/>
  <c r="A25" i="1"/>
  <c r="B25" i="1"/>
  <c r="D25" i="1"/>
  <c r="O25" i="1"/>
  <c r="A26" i="1"/>
  <c r="B26" i="1"/>
  <c r="D26" i="1"/>
  <c r="O26" i="1"/>
  <c r="A27" i="1"/>
  <c r="B27" i="1"/>
  <c r="D27" i="1"/>
  <c r="O27" i="1"/>
  <c r="A28" i="1"/>
  <c r="B28" i="1"/>
  <c r="D28" i="1"/>
  <c r="O28" i="1"/>
  <c r="A29" i="1"/>
  <c r="B29" i="1"/>
  <c r="D29" i="1"/>
  <c r="O29" i="1"/>
  <c r="A30" i="1"/>
  <c r="B30" i="1"/>
  <c r="D30" i="1"/>
  <c r="O30" i="1"/>
  <c r="A31" i="1"/>
  <c r="B31" i="1"/>
  <c r="D31" i="1"/>
  <c r="O31" i="1"/>
  <c r="A32" i="1"/>
  <c r="B32" i="1"/>
  <c r="D32" i="1"/>
  <c r="O32" i="1"/>
  <c r="A33" i="1"/>
  <c r="B33" i="1"/>
  <c r="D33" i="1"/>
  <c r="O33" i="1"/>
  <c r="A34" i="1"/>
  <c r="B34" i="1"/>
  <c r="D34" i="1"/>
  <c r="O34" i="1"/>
  <c r="A35" i="1"/>
  <c r="B35" i="1"/>
  <c r="D35" i="1"/>
  <c r="O35" i="1"/>
  <c r="A36" i="1"/>
  <c r="B36" i="1"/>
  <c r="D36" i="1"/>
  <c r="O36" i="1"/>
  <c r="A37" i="1"/>
  <c r="B37" i="1"/>
  <c r="D37" i="1"/>
  <c r="O37" i="1"/>
  <c r="A38" i="1"/>
  <c r="B38" i="1"/>
  <c r="D38" i="1"/>
  <c r="O38" i="1"/>
  <c r="A39" i="1"/>
  <c r="B39" i="1"/>
  <c r="D39" i="1"/>
  <c r="O39" i="1"/>
  <c r="A40" i="1"/>
  <c r="B40" i="1"/>
  <c r="D40" i="1"/>
  <c r="O40" i="1"/>
  <c r="A41" i="1"/>
  <c r="B41" i="1"/>
  <c r="D41" i="1"/>
  <c r="O41" i="1"/>
  <c r="A42" i="1"/>
  <c r="B42" i="1"/>
  <c r="D42" i="1"/>
  <c r="O42" i="1"/>
  <c r="A43" i="1"/>
  <c r="B43" i="1"/>
  <c r="D43" i="1"/>
  <c r="O43" i="1"/>
  <c r="A44" i="1"/>
  <c r="B44" i="1"/>
  <c r="D44" i="1"/>
  <c r="O44" i="1"/>
  <c r="A45" i="1"/>
  <c r="B45" i="1"/>
  <c r="D45" i="1"/>
  <c r="O45" i="1"/>
  <c r="A46" i="1"/>
  <c r="B46" i="1"/>
  <c r="D46" i="1"/>
  <c r="O46" i="1"/>
  <c r="A47" i="1"/>
  <c r="B47" i="1"/>
  <c r="D47" i="1"/>
  <c r="O47" i="1"/>
  <c r="A48" i="1"/>
  <c r="B48" i="1"/>
  <c r="D48" i="1"/>
  <c r="O48" i="1"/>
  <c r="A49" i="1"/>
  <c r="B49" i="1"/>
  <c r="D49" i="1"/>
  <c r="O49" i="1"/>
  <c r="A50" i="1"/>
  <c r="B50" i="1"/>
  <c r="D50" i="1"/>
  <c r="O50" i="1"/>
  <c r="A51" i="1"/>
  <c r="B51" i="1"/>
  <c r="D51" i="1"/>
  <c r="O51" i="1"/>
  <c r="A52" i="1"/>
  <c r="B52" i="1"/>
  <c r="D52" i="1"/>
  <c r="O52" i="1"/>
  <c r="A53" i="1"/>
  <c r="B53" i="1"/>
  <c r="D53" i="1"/>
  <c r="O53" i="1"/>
  <c r="A54" i="1"/>
  <c r="B54" i="1"/>
  <c r="D54" i="1"/>
  <c r="O54" i="1"/>
  <c r="A55" i="1"/>
  <c r="B55" i="1"/>
  <c r="D55" i="1"/>
  <c r="O55" i="1"/>
  <c r="A56" i="1"/>
  <c r="B56" i="1"/>
  <c r="D56" i="1"/>
  <c r="O56" i="1"/>
  <c r="A57" i="1"/>
  <c r="B57" i="1"/>
  <c r="D57" i="1"/>
  <c r="O57" i="1"/>
  <c r="A58" i="1"/>
  <c r="B58" i="1"/>
  <c r="D58" i="1"/>
  <c r="O58" i="1"/>
  <c r="A59" i="1"/>
  <c r="B59" i="1"/>
  <c r="D59" i="1"/>
  <c r="O59" i="1"/>
  <c r="A60" i="1"/>
  <c r="B60" i="1"/>
  <c r="D60" i="1"/>
  <c r="O60" i="1"/>
  <c r="A61" i="1"/>
  <c r="B61" i="1"/>
  <c r="D61" i="1"/>
  <c r="O61" i="1"/>
  <c r="A62" i="1"/>
  <c r="B62" i="1"/>
  <c r="D62" i="1"/>
  <c r="O62" i="1"/>
  <c r="A63" i="1"/>
  <c r="B63" i="1"/>
  <c r="D63" i="1"/>
  <c r="O63" i="1"/>
  <c r="A64" i="1"/>
  <c r="B64" i="1"/>
  <c r="D64" i="1"/>
  <c r="O64" i="1"/>
  <c r="A65" i="1"/>
  <c r="B65" i="1"/>
  <c r="D65" i="1"/>
  <c r="O65" i="1"/>
  <c r="A66" i="1"/>
  <c r="B66" i="1"/>
  <c r="D66" i="1"/>
  <c r="O66" i="1"/>
  <c r="A67" i="1"/>
  <c r="B67" i="1"/>
  <c r="D67" i="1"/>
  <c r="O67" i="1"/>
  <c r="A68" i="1"/>
  <c r="B68" i="1"/>
  <c r="D68" i="1"/>
  <c r="O68" i="1"/>
  <c r="A69" i="1"/>
  <c r="B69" i="1"/>
  <c r="D69" i="1"/>
  <c r="O69" i="1"/>
  <c r="A70" i="1"/>
  <c r="B70" i="1"/>
  <c r="D70" i="1"/>
  <c r="O70" i="1"/>
  <c r="A71" i="1"/>
  <c r="B71" i="1"/>
  <c r="D71" i="1"/>
  <c r="O71" i="1"/>
  <c r="A72" i="1"/>
  <c r="B72" i="1"/>
  <c r="D72" i="1"/>
  <c r="O72" i="1"/>
  <c r="A73" i="1"/>
  <c r="B73" i="1"/>
  <c r="D73" i="1"/>
  <c r="O73" i="1"/>
  <c r="A74" i="1"/>
  <c r="B74" i="1"/>
  <c r="D74" i="1"/>
  <c r="O74" i="1"/>
  <c r="A75" i="1"/>
  <c r="B75" i="1"/>
  <c r="D75" i="1"/>
  <c r="O75" i="1"/>
  <c r="A76" i="1"/>
  <c r="B76" i="1"/>
  <c r="D76" i="1"/>
  <c r="O76" i="1"/>
  <c r="A77" i="1"/>
  <c r="B77" i="1"/>
  <c r="D77" i="1"/>
  <c r="O77" i="1"/>
  <c r="A78" i="1"/>
  <c r="B78" i="1"/>
  <c r="D78" i="1"/>
  <c r="O78" i="1"/>
  <c r="A79" i="1"/>
  <c r="B79" i="1"/>
  <c r="D79" i="1"/>
  <c r="O79" i="1"/>
  <c r="A80" i="1"/>
  <c r="B80" i="1"/>
  <c r="D80" i="1"/>
  <c r="O80" i="1"/>
  <c r="A81" i="1"/>
  <c r="B81" i="1"/>
  <c r="D81" i="1"/>
  <c r="O81" i="1"/>
  <c r="A82" i="1"/>
  <c r="B82" i="1"/>
  <c r="D82" i="1"/>
  <c r="O82" i="1"/>
  <c r="A83" i="1"/>
  <c r="B83" i="1"/>
  <c r="D83" i="1"/>
  <c r="O83" i="1"/>
  <c r="A84" i="1"/>
  <c r="B84" i="1"/>
  <c r="D84" i="1"/>
  <c r="O84" i="1"/>
  <c r="A85" i="1"/>
  <c r="B85" i="1"/>
  <c r="D85" i="1"/>
  <c r="O85" i="1"/>
  <c r="A86" i="1"/>
  <c r="B86" i="1"/>
  <c r="D86" i="1"/>
  <c r="O86" i="1"/>
  <c r="A87" i="1"/>
  <c r="B87" i="1"/>
  <c r="D87" i="1"/>
  <c r="O87" i="1"/>
  <c r="A88" i="1"/>
  <c r="B88" i="1"/>
  <c r="D88" i="1"/>
  <c r="O88" i="1"/>
  <c r="A89" i="1"/>
  <c r="B89" i="1"/>
  <c r="D89" i="1"/>
  <c r="O89" i="1"/>
  <c r="A90" i="1"/>
  <c r="B90" i="1"/>
  <c r="D90" i="1"/>
  <c r="O90" i="1"/>
  <c r="A91" i="1"/>
  <c r="B91" i="1"/>
  <c r="D91" i="1"/>
  <c r="O91" i="1"/>
  <c r="A92" i="1"/>
  <c r="B92" i="1"/>
  <c r="D92" i="1"/>
  <c r="O92" i="1"/>
  <c r="A93" i="1"/>
  <c r="B93" i="1"/>
  <c r="D93" i="1"/>
  <c r="O93" i="1"/>
  <c r="A94" i="1"/>
  <c r="B94" i="1"/>
  <c r="D94" i="1"/>
  <c r="O94" i="1"/>
  <c r="A95" i="1"/>
  <c r="B95" i="1"/>
  <c r="D95" i="1"/>
  <c r="O95" i="1"/>
  <c r="A96" i="1"/>
  <c r="B96" i="1"/>
  <c r="D96" i="1"/>
  <c r="O96" i="1"/>
  <c r="A97" i="1"/>
  <c r="B97" i="1"/>
  <c r="D97" i="1"/>
  <c r="O97" i="1"/>
  <c r="A98" i="1"/>
  <c r="B98" i="1"/>
  <c r="D98" i="1"/>
  <c r="O98" i="1"/>
  <c r="A99" i="1"/>
  <c r="B99" i="1"/>
  <c r="D99" i="1"/>
  <c r="O99" i="1"/>
  <c r="A100" i="1"/>
  <c r="B100" i="1"/>
  <c r="D100" i="1"/>
  <c r="O100" i="1"/>
  <c r="A101" i="1"/>
  <c r="B101" i="1"/>
  <c r="D101" i="1"/>
  <c r="O101" i="1"/>
  <c r="A102" i="1"/>
  <c r="B102" i="1"/>
  <c r="D102" i="1"/>
  <c r="O102" i="1"/>
  <c r="A103" i="1"/>
  <c r="B103" i="1"/>
  <c r="D103" i="1"/>
  <c r="O103" i="1"/>
  <c r="A104" i="1"/>
  <c r="B104" i="1"/>
  <c r="D104" i="1"/>
  <c r="O104" i="1"/>
  <c r="A105" i="1"/>
  <c r="B105" i="1"/>
  <c r="D105" i="1"/>
  <c r="O105" i="1"/>
  <c r="A106" i="1"/>
  <c r="B106" i="1"/>
  <c r="D106" i="1"/>
  <c r="O106" i="1"/>
  <c r="A107" i="1"/>
  <c r="B107" i="1"/>
  <c r="D107" i="1"/>
  <c r="O107" i="1"/>
  <c r="A108" i="1"/>
  <c r="B108" i="1"/>
  <c r="D108" i="1"/>
  <c r="O108" i="1"/>
  <c r="A109" i="1"/>
  <c r="B109" i="1"/>
  <c r="D109" i="1"/>
  <c r="O109" i="1"/>
  <c r="A110" i="1"/>
  <c r="B110" i="1"/>
  <c r="D110" i="1"/>
  <c r="O110" i="1"/>
  <c r="A111" i="1"/>
  <c r="B111" i="1"/>
  <c r="D111" i="1"/>
  <c r="O111" i="1"/>
  <c r="L111" i="1"/>
  <c r="K111" i="1"/>
  <c r="I111" i="1"/>
  <c r="G111" i="1"/>
  <c r="BC110" i="1"/>
  <c r="BA110" i="1"/>
  <c r="AY110" i="1"/>
  <c r="AW110" i="1"/>
  <c r="AU110" i="1"/>
  <c r="AT110" i="1"/>
  <c r="AS110" i="1"/>
  <c r="AN97" i="1"/>
  <c r="AR110" i="1"/>
  <c r="AL110" i="1"/>
  <c r="L110" i="1"/>
  <c r="K110" i="1"/>
  <c r="I110" i="1"/>
  <c r="G110" i="1"/>
  <c r="BC109" i="1"/>
  <c r="BA109" i="1"/>
  <c r="AY109" i="1"/>
  <c r="AW109" i="1"/>
  <c r="AU109" i="1"/>
  <c r="AT109" i="1"/>
  <c r="AS109" i="1"/>
  <c r="AN96" i="1"/>
  <c r="AR109" i="1"/>
  <c r="AL109" i="1"/>
  <c r="L109" i="1"/>
  <c r="K109" i="1"/>
  <c r="I109" i="1"/>
  <c r="G109" i="1"/>
  <c r="BC108" i="1"/>
  <c r="BA108" i="1"/>
  <c r="AY108" i="1"/>
  <c r="AW108" i="1"/>
  <c r="AU108" i="1"/>
  <c r="AT108" i="1"/>
  <c r="AS108" i="1"/>
  <c r="AN95" i="1"/>
  <c r="AR108" i="1"/>
  <c r="AL108" i="1"/>
  <c r="L108" i="1"/>
  <c r="K108" i="1"/>
  <c r="I108" i="1"/>
  <c r="G108" i="1"/>
  <c r="BC107" i="1"/>
  <c r="BA107" i="1"/>
  <c r="AY107" i="1"/>
  <c r="AW107" i="1"/>
  <c r="AU107" i="1"/>
  <c r="AT107" i="1"/>
  <c r="AS107" i="1"/>
  <c r="AN94" i="1"/>
  <c r="AR107" i="1"/>
  <c r="AL107" i="1"/>
  <c r="L107" i="1"/>
  <c r="K107" i="1"/>
  <c r="I107" i="1"/>
  <c r="G107" i="1"/>
  <c r="BC106" i="1"/>
  <c r="BA106" i="1"/>
  <c r="AY106" i="1"/>
  <c r="AW106" i="1"/>
  <c r="AU106" i="1"/>
  <c r="AT106" i="1"/>
  <c r="AS106" i="1"/>
  <c r="AN93" i="1"/>
  <c r="AR106" i="1"/>
  <c r="AL106" i="1"/>
  <c r="L106" i="1"/>
  <c r="K106" i="1"/>
  <c r="I106" i="1"/>
  <c r="G106" i="1"/>
  <c r="BC105" i="1"/>
  <c r="BA105" i="1"/>
  <c r="AY105" i="1"/>
  <c r="AW105" i="1"/>
  <c r="AU105" i="1"/>
  <c r="AT105" i="1"/>
  <c r="AS105" i="1"/>
  <c r="AN92" i="1"/>
  <c r="AR105" i="1"/>
  <c r="AL105" i="1"/>
  <c r="L105" i="1"/>
  <c r="K105" i="1"/>
  <c r="I105" i="1"/>
  <c r="G105" i="1"/>
  <c r="BC104" i="1"/>
  <c r="BA104" i="1"/>
  <c r="AY104" i="1"/>
  <c r="AW104" i="1"/>
  <c r="AU104" i="1"/>
  <c r="AT104" i="1"/>
  <c r="AS104" i="1"/>
  <c r="AN91" i="1"/>
  <c r="AR104" i="1"/>
  <c r="AL104" i="1"/>
  <c r="L104" i="1"/>
  <c r="K104" i="1"/>
  <c r="I104" i="1"/>
  <c r="G104" i="1"/>
  <c r="BC103" i="1"/>
  <c r="BA103" i="1"/>
  <c r="AY103" i="1"/>
  <c r="AW103" i="1"/>
  <c r="AU103" i="1"/>
  <c r="AT103" i="1"/>
  <c r="AS103" i="1"/>
  <c r="AN90" i="1"/>
  <c r="AR103" i="1"/>
  <c r="AL103" i="1"/>
  <c r="L103" i="1"/>
  <c r="K103" i="1"/>
  <c r="I103" i="1"/>
  <c r="G103" i="1"/>
  <c r="BC102" i="1"/>
  <c r="BA102" i="1"/>
  <c r="AY102" i="1"/>
  <c r="AW102" i="1"/>
  <c r="AU102" i="1"/>
  <c r="AT102" i="1"/>
  <c r="AS102" i="1"/>
  <c r="AN89" i="1"/>
  <c r="AR102" i="1"/>
  <c r="AL102" i="1"/>
  <c r="L102" i="1"/>
  <c r="K102" i="1"/>
  <c r="I102" i="1"/>
  <c r="G102" i="1"/>
  <c r="BC101" i="1"/>
  <c r="BA101" i="1"/>
  <c r="AY101" i="1"/>
  <c r="AW101" i="1"/>
  <c r="AU101" i="1"/>
  <c r="AT101" i="1"/>
  <c r="AS101" i="1"/>
  <c r="AN88" i="1"/>
  <c r="AR101" i="1"/>
  <c r="AL101" i="1"/>
  <c r="L101" i="1"/>
  <c r="K101" i="1"/>
  <c r="I101" i="1"/>
  <c r="G101" i="1"/>
  <c r="BC100" i="1"/>
  <c r="BA100" i="1"/>
  <c r="AY100" i="1"/>
  <c r="AW100" i="1"/>
  <c r="AU100" i="1"/>
  <c r="AT100" i="1"/>
  <c r="AS100" i="1"/>
  <c r="AN87" i="1"/>
  <c r="AR100" i="1"/>
  <c r="AL100" i="1"/>
  <c r="L100" i="1"/>
  <c r="K100" i="1"/>
  <c r="I100" i="1"/>
  <c r="G100" i="1"/>
  <c r="BC99" i="1"/>
  <c r="BA99" i="1"/>
  <c r="AY99" i="1"/>
  <c r="AW99" i="1"/>
  <c r="AU99" i="1"/>
  <c r="AT99" i="1"/>
  <c r="AS99" i="1"/>
  <c r="AN86" i="1"/>
  <c r="AR99" i="1"/>
  <c r="AL99" i="1"/>
  <c r="L99" i="1"/>
  <c r="K99" i="1"/>
  <c r="I99" i="1"/>
  <c r="G99" i="1"/>
  <c r="BC98" i="1"/>
  <c r="BA98" i="1"/>
  <c r="AY98" i="1"/>
  <c r="AW98" i="1"/>
  <c r="AU98" i="1"/>
  <c r="AT98" i="1"/>
  <c r="AS98" i="1"/>
  <c r="AN85" i="1"/>
  <c r="AR98" i="1"/>
  <c r="AL98" i="1"/>
  <c r="L98" i="1"/>
  <c r="K98" i="1"/>
  <c r="I98" i="1"/>
  <c r="G98" i="1"/>
  <c r="BC97" i="1"/>
  <c r="BA97" i="1"/>
  <c r="AY97" i="1"/>
  <c r="AW97" i="1"/>
  <c r="AU97" i="1"/>
  <c r="AT97" i="1"/>
  <c r="AS97" i="1"/>
  <c r="AN84" i="1"/>
  <c r="AR97" i="1"/>
  <c r="AL97" i="1"/>
  <c r="L97" i="1"/>
  <c r="K97" i="1"/>
  <c r="I97" i="1"/>
  <c r="G97" i="1"/>
  <c r="BC96" i="1"/>
  <c r="BA96" i="1"/>
  <c r="AY96" i="1"/>
  <c r="AW96" i="1"/>
  <c r="AU96" i="1"/>
  <c r="AT96" i="1"/>
  <c r="AS96" i="1"/>
  <c r="AN83" i="1"/>
  <c r="AR96" i="1"/>
  <c r="AL96" i="1"/>
  <c r="L96" i="1"/>
  <c r="K96" i="1"/>
  <c r="I96" i="1"/>
  <c r="G96" i="1"/>
  <c r="BC95" i="1"/>
  <c r="BA95" i="1"/>
  <c r="AY95" i="1"/>
  <c r="AW95" i="1"/>
  <c r="AU95" i="1"/>
  <c r="AT95" i="1"/>
  <c r="AS95" i="1"/>
  <c r="AN82" i="1"/>
  <c r="AR95" i="1"/>
  <c r="AL95" i="1"/>
  <c r="L95" i="1"/>
  <c r="K95" i="1"/>
  <c r="I95" i="1"/>
  <c r="G95" i="1"/>
  <c r="BC94" i="1"/>
  <c r="BA94" i="1"/>
  <c r="AY94" i="1"/>
  <c r="AW94" i="1"/>
  <c r="AU94" i="1"/>
  <c r="AT94" i="1"/>
  <c r="AS94" i="1"/>
  <c r="AN81" i="1"/>
  <c r="AR94" i="1"/>
  <c r="AL94" i="1"/>
  <c r="L94" i="1"/>
  <c r="K94" i="1"/>
  <c r="I94" i="1"/>
  <c r="G94" i="1"/>
  <c r="BC93" i="1"/>
  <c r="BA93" i="1"/>
  <c r="AY93" i="1"/>
  <c r="AW93" i="1"/>
  <c r="AU93" i="1"/>
  <c r="AT93" i="1"/>
  <c r="AS93" i="1"/>
  <c r="AN80" i="1"/>
  <c r="AR93" i="1"/>
  <c r="AL93" i="1"/>
  <c r="L93" i="1"/>
  <c r="K93" i="1"/>
  <c r="I93" i="1"/>
  <c r="G93" i="1"/>
  <c r="BC92" i="1"/>
  <c r="BA92" i="1"/>
  <c r="AY92" i="1"/>
  <c r="AW92" i="1"/>
  <c r="AU92" i="1"/>
  <c r="AT92" i="1"/>
  <c r="AS92" i="1"/>
  <c r="AN79" i="1"/>
  <c r="AR92" i="1"/>
  <c r="AL92" i="1"/>
  <c r="L92" i="1"/>
  <c r="K92" i="1"/>
  <c r="I92" i="1"/>
  <c r="G92" i="1"/>
  <c r="BC91" i="1"/>
  <c r="BA91" i="1"/>
  <c r="AY91" i="1"/>
  <c r="AW91" i="1"/>
  <c r="AU91" i="1"/>
  <c r="AT91" i="1"/>
  <c r="AS91" i="1"/>
  <c r="AN78" i="1"/>
  <c r="AR91" i="1"/>
  <c r="AL91" i="1"/>
  <c r="L91" i="1"/>
  <c r="K91" i="1"/>
  <c r="I91" i="1"/>
  <c r="G91" i="1"/>
  <c r="BC90" i="1"/>
  <c r="BA90" i="1"/>
  <c r="AY90" i="1"/>
  <c r="AW90" i="1"/>
  <c r="AU90" i="1"/>
  <c r="AT90" i="1"/>
  <c r="AS90" i="1"/>
  <c r="AN77" i="1"/>
  <c r="AR90" i="1"/>
  <c r="AL90" i="1"/>
  <c r="L90" i="1"/>
  <c r="K90" i="1"/>
  <c r="I90" i="1"/>
  <c r="G90" i="1"/>
  <c r="BC89" i="1"/>
  <c r="BA89" i="1"/>
  <c r="AY89" i="1"/>
  <c r="AW89" i="1"/>
  <c r="AU89" i="1"/>
  <c r="AT89" i="1"/>
  <c r="AS89" i="1"/>
  <c r="AN76" i="1"/>
  <c r="AR89" i="1"/>
  <c r="AL89" i="1"/>
  <c r="L89" i="1"/>
  <c r="K89" i="1"/>
  <c r="I89" i="1"/>
  <c r="G89" i="1"/>
  <c r="BC88" i="1"/>
  <c r="BA88" i="1"/>
  <c r="AY88" i="1"/>
  <c r="AW88" i="1"/>
  <c r="AU88" i="1"/>
  <c r="AT88" i="1"/>
  <c r="AS88" i="1"/>
  <c r="AN75" i="1"/>
  <c r="AR88" i="1"/>
  <c r="AL88" i="1"/>
  <c r="L88" i="1"/>
  <c r="K88" i="1"/>
  <c r="I88" i="1"/>
  <c r="G88" i="1"/>
  <c r="BC87" i="1"/>
  <c r="BA87" i="1"/>
  <c r="AY87" i="1"/>
  <c r="AW87" i="1"/>
  <c r="AU87" i="1"/>
  <c r="AT87" i="1"/>
  <c r="AS87" i="1"/>
  <c r="AN74" i="1"/>
  <c r="AR87" i="1"/>
  <c r="AL87" i="1"/>
  <c r="L87" i="1"/>
  <c r="K87" i="1"/>
  <c r="I87" i="1"/>
  <c r="G87" i="1"/>
  <c r="BC86" i="1"/>
  <c r="BA86" i="1"/>
  <c r="AY86" i="1"/>
  <c r="AW86" i="1"/>
  <c r="AU86" i="1"/>
  <c r="AT86" i="1"/>
  <c r="AS86" i="1"/>
  <c r="AN73" i="1"/>
  <c r="AR86" i="1"/>
  <c r="AL86" i="1"/>
  <c r="L86" i="1"/>
  <c r="K86" i="1"/>
  <c r="I86" i="1"/>
  <c r="G86" i="1"/>
  <c r="BC85" i="1"/>
  <c r="BA85" i="1"/>
  <c r="AY85" i="1"/>
  <c r="AW85" i="1"/>
  <c r="AU85" i="1"/>
  <c r="AT85" i="1"/>
  <c r="AS85" i="1"/>
  <c r="AN72" i="1"/>
  <c r="AR85" i="1"/>
  <c r="AL85" i="1"/>
  <c r="L85" i="1"/>
  <c r="K85" i="1"/>
  <c r="I85" i="1"/>
  <c r="G85" i="1"/>
  <c r="BC84" i="1"/>
  <c r="BA84" i="1"/>
  <c r="AY84" i="1"/>
  <c r="AW84" i="1"/>
  <c r="AU84" i="1"/>
  <c r="AT84" i="1"/>
  <c r="AS84" i="1"/>
  <c r="AN71" i="1"/>
  <c r="AR84" i="1"/>
  <c r="AL84" i="1"/>
  <c r="L84" i="1"/>
  <c r="K84" i="1"/>
  <c r="I84" i="1"/>
  <c r="G84" i="1"/>
  <c r="BC83" i="1"/>
  <c r="BA83" i="1"/>
  <c r="AY83" i="1"/>
  <c r="AW83" i="1"/>
  <c r="AU83" i="1"/>
  <c r="AT83" i="1"/>
  <c r="AS83" i="1"/>
  <c r="AN70" i="1"/>
  <c r="AR83" i="1"/>
  <c r="AL83" i="1"/>
  <c r="L83" i="1"/>
  <c r="K83" i="1"/>
  <c r="I83" i="1"/>
  <c r="G83" i="1"/>
  <c r="BC82" i="1"/>
  <c r="BA82" i="1"/>
  <c r="AY82" i="1"/>
  <c r="AW82" i="1"/>
  <c r="AU82" i="1"/>
  <c r="AT82" i="1"/>
  <c r="AS82" i="1"/>
  <c r="AN69" i="1"/>
  <c r="AR82" i="1"/>
  <c r="AL82" i="1"/>
  <c r="L82" i="1"/>
  <c r="K82" i="1"/>
  <c r="I82" i="1"/>
  <c r="G82" i="1"/>
  <c r="BC81" i="1"/>
  <c r="BA81" i="1"/>
  <c r="AY81" i="1"/>
  <c r="AW81" i="1"/>
  <c r="AU81" i="1"/>
  <c r="AT81" i="1"/>
  <c r="AS81" i="1"/>
  <c r="AN68" i="1"/>
  <c r="AR81" i="1"/>
  <c r="AL81" i="1"/>
  <c r="L81" i="1"/>
  <c r="K81" i="1"/>
  <c r="I81" i="1"/>
  <c r="G81" i="1"/>
  <c r="BC80" i="1"/>
  <c r="BA80" i="1"/>
  <c r="AY80" i="1"/>
  <c r="AW80" i="1"/>
  <c r="AU80" i="1"/>
  <c r="AT80" i="1"/>
  <c r="AS80" i="1"/>
  <c r="AN67" i="1"/>
  <c r="AR80" i="1"/>
  <c r="AL80" i="1"/>
  <c r="L80" i="1"/>
  <c r="K80" i="1"/>
  <c r="I80" i="1"/>
  <c r="G80" i="1"/>
  <c r="BC79" i="1"/>
  <c r="BA79" i="1"/>
  <c r="AY79" i="1"/>
  <c r="AW79" i="1"/>
  <c r="AU79" i="1"/>
  <c r="AT79" i="1"/>
  <c r="AS79" i="1"/>
  <c r="AN66" i="1"/>
  <c r="AR79" i="1"/>
  <c r="AL79" i="1"/>
  <c r="L79" i="1"/>
  <c r="K79" i="1"/>
  <c r="I79" i="1"/>
  <c r="G79" i="1"/>
  <c r="BC78" i="1"/>
  <c r="BA78" i="1"/>
  <c r="AY78" i="1"/>
  <c r="AW78" i="1"/>
  <c r="AU78" i="1"/>
  <c r="AT78" i="1"/>
  <c r="AS78" i="1"/>
  <c r="AN65" i="1"/>
  <c r="AR78" i="1"/>
  <c r="AL78" i="1"/>
  <c r="L78" i="1"/>
  <c r="K78" i="1"/>
  <c r="I78" i="1"/>
  <c r="G78" i="1"/>
  <c r="BC77" i="1"/>
  <c r="BA77" i="1"/>
  <c r="AY77" i="1"/>
  <c r="AW77" i="1"/>
  <c r="AU77" i="1"/>
  <c r="AT77" i="1"/>
  <c r="AS77" i="1"/>
  <c r="AN64" i="1"/>
  <c r="AR77" i="1"/>
  <c r="AL77" i="1"/>
  <c r="L77" i="1"/>
  <c r="K77" i="1"/>
  <c r="I77" i="1"/>
  <c r="G77" i="1"/>
  <c r="BC76" i="1"/>
  <c r="BA76" i="1"/>
  <c r="AY76" i="1"/>
  <c r="AW76" i="1"/>
  <c r="AU76" i="1"/>
  <c r="AT76" i="1"/>
  <c r="AS76" i="1"/>
  <c r="AN63" i="1"/>
  <c r="AR76" i="1"/>
  <c r="AL76" i="1"/>
  <c r="L76" i="1"/>
  <c r="K76" i="1"/>
  <c r="I76" i="1"/>
  <c r="G76" i="1"/>
  <c r="BC75" i="1"/>
  <c r="BA75" i="1"/>
  <c r="AY75" i="1"/>
  <c r="AW75" i="1"/>
  <c r="AU75" i="1"/>
  <c r="AT75" i="1"/>
  <c r="AS75" i="1"/>
  <c r="AN62" i="1"/>
  <c r="AR75" i="1"/>
  <c r="AL75" i="1"/>
  <c r="L75" i="1"/>
  <c r="K75" i="1"/>
  <c r="I75" i="1"/>
  <c r="G75" i="1"/>
  <c r="BC74" i="1"/>
  <c r="BA74" i="1"/>
  <c r="AY74" i="1"/>
  <c r="AW74" i="1"/>
  <c r="AU74" i="1"/>
  <c r="AT74" i="1"/>
  <c r="AS74" i="1"/>
  <c r="AN61" i="1"/>
  <c r="AR74" i="1"/>
  <c r="AL74" i="1"/>
  <c r="L74" i="1"/>
  <c r="K74" i="1"/>
  <c r="I74" i="1"/>
  <c r="G74" i="1"/>
  <c r="BC73" i="1"/>
  <c r="BA73" i="1"/>
  <c r="AY73" i="1"/>
  <c r="AW73" i="1"/>
  <c r="AU73" i="1"/>
  <c r="AT73" i="1"/>
  <c r="AS73" i="1"/>
  <c r="AN60" i="1"/>
  <c r="AR73" i="1"/>
  <c r="AL73" i="1"/>
  <c r="L73" i="1"/>
  <c r="K73" i="1"/>
  <c r="I73" i="1"/>
  <c r="G73" i="1"/>
  <c r="BC72" i="1"/>
  <c r="BA72" i="1"/>
  <c r="AY72" i="1"/>
  <c r="AW72" i="1"/>
  <c r="AU72" i="1"/>
  <c r="AT72" i="1"/>
  <c r="AS72" i="1"/>
  <c r="AN59" i="1"/>
  <c r="AR72" i="1"/>
  <c r="AL72" i="1"/>
  <c r="L72" i="1"/>
  <c r="K72" i="1"/>
  <c r="I72" i="1"/>
  <c r="G72" i="1"/>
  <c r="BC71" i="1"/>
  <c r="BA71" i="1"/>
  <c r="AY71" i="1"/>
  <c r="AW71" i="1"/>
  <c r="AU71" i="1"/>
  <c r="AT71" i="1"/>
  <c r="AS71" i="1"/>
  <c r="AN58" i="1"/>
  <c r="AR71" i="1"/>
  <c r="AL71" i="1"/>
  <c r="L71" i="1"/>
  <c r="K71" i="1"/>
  <c r="I71" i="1"/>
  <c r="G71" i="1"/>
  <c r="BC70" i="1"/>
  <c r="BA70" i="1"/>
  <c r="AY70" i="1"/>
  <c r="AW70" i="1"/>
  <c r="AU70" i="1"/>
  <c r="AT70" i="1"/>
  <c r="AS70" i="1"/>
  <c r="AN57" i="1"/>
  <c r="AR70" i="1"/>
  <c r="AL70" i="1"/>
  <c r="L70" i="1"/>
  <c r="K70" i="1"/>
  <c r="I70" i="1"/>
  <c r="G70" i="1"/>
  <c r="BC69" i="1"/>
  <c r="BA69" i="1"/>
  <c r="AY69" i="1"/>
  <c r="AW69" i="1"/>
  <c r="AU69" i="1"/>
  <c r="AT69" i="1"/>
  <c r="AS69" i="1"/>
  <c r="AN56" i="1"/>
  <c r="AR69" i="1"/>
  <c r="AL69" i="1"/>
  <c r="L69" i="1"/>
  <c r="K69" i="1"/>
  <c r="I69" i="1"/>
  <c r="G69" i="1"/>
  <c r="BC68" i="1"/>
  <c r="BA68" i="1"/>
  <c r="AY68" i="1"/>
  <c r="AW68" i="1"/>
  <c r="AU68" i="1"/>
  <c r="AT68" i="1"/>
  <c r="AS68" i="1"/>
  <c r="AN55" i="1"/>
  <c r="AR68" i="1"/>
  <c r="AL68" i="1"/>
  <c r="L68" i="1"/>
  <c r="K68" i="1"/>
  <c r="I68" i="1"/>
  <c r="G68" i="1"/>
  <c r="BC67" i="1"/>
  <c r="BA67" i="1"/>
  <c r="AY67" i="1"/>
  <c r="AW67" i="1"/>
  <c r="AU67" i="1"/>
  <c r="AT67" i="1"/>
  <c r="AS67" i="1"/>
  <c r="AN54" i="1"/>
  <c r="AR67" i="1"/>
  <c r="AL67" i="1"/>
  <c r="L67" i="1"/>
  <c r="K67" i="1"/>
  <c r="I67" i="1"/>
  <c r="G67" i="1"/>
  <c r="BC66" i="1"/>
  <c r="BA66" i="1"/>
  <c r="AY66" i="1"/>
  <c r="AW66" i="1"/>
  <c r="AU66" i="1"/>
  <c r="AT66" i="1"/>
  <c r="AS66" i="1"/>
  <c r="AN53" i="1"/>
  <c r="AR66" i="1"/>
  <c r="AL66" i="1"/>
  <c r="L66" i="1"/>
  <c r="K66" i="1"/>
  <c r="I66" i="1"/>
  <c r="G66" i="1"/>
  <c r="BC65" i="1"/>
  <c r="BA65" i="1"/>
  <c r="AY65" i="1"/>
  <c r="AW65" i="1"/>
  <c r="AU65" i="1"/>
  <c r="AT65" i="1"/>
  <c r="AS65" i="1"/>
  <c r="AN52" i="1"/>
  <c r="AR65" i="1"/>
  <c r="AL65" i="1"/>
  <c r="L65" i="1"/>
  <c r="K65" i="1"/>
  <c r="I65" i="1"/>
  <c r="G65" i="1"/>
  <c r="BC64" i="1"/>
  <c r="BA64" i="1"/>
  <c r="AY64" i="1"/>
  <c r="AW64" i="1"/>
  <c r="AU64" i="1"/>
  <c r="AT64" i="1"/>
  <c r="AS64" i="1"/>
  <c r="AN51" i="1"/>
  <c r="AR64" i="1"/>
  <c r="AL64" i="1"/>
  <c r="L64" i="1"/>
  <c r="K64" i="1"/>
  <c r="I64" i="1"/>
  <c r="G64" i="1"/>
  <c r="BC63" i="1"/>
  <c r="BA63" i="1"/>
  <c r="AY63" i="1"/>
  <c r="AW63" i="1"/>
  <c r="AU63" i="1"/>
  <c r="AT63" i="1"/>
  <c r="AS63" i="1"/>
  <c r="AN50" i="1"/>
  <c r="AR63" i="1"/>
  <c r="AL63" i="1"/>
  <c r="L63" i="1"/>
  <c r="K63" i="1"/>
  <c r="I63" i="1"/>
  <c r="G63" i="1"/>
  <c r="BC62" i="1"/>
  <c r="BA62" i="1"/>
  <c r="AY62" i="1"/>
  <c r="AW62" i="1"/>
  <c r="AU62" i="1"/>
  <c r="AT62" i="1"/>
  <c r="AS62" i="1"/>
  <c r="AN49" i="1"/>
  <c r="AR62" i="1"/>
  <c r="AL62" i="1"/>
  <c r="L62" i="1"/>
  <c r="K62" i="1"/>
  <c r="I62" i="1"/>
  <c r="G62" i="1"/>
  <c r="BC61" i="1"/>
  <c r="BA61" i="1"/>
  <c r="AY61" i="1"/>
  <c r="AW61" i="1"/>
  <c r="AU61" i="1"/>
  <c r="AT61" i="1"/>
  <c r="AS61" i="1"/>
  <c r="AN48" i="1"/>
  <c r="AR61" i="1"/>
  <c r="AL61" i="1"/>
  <c r="L61" i="1"/>
  <c r="K61" i="1"/>
  <c r="I61" i="1"/>
  <c r="G61" i="1"/>
  <c r="BC60" i="1"/>
  <c r="BA60" i="1"/>
  <c r="AY60" i="1"/>
  <c r="AW60" i="1"/>
  <c r="AU60" i="1"/>
  <c r="AT60" i="1"/>
  <c r="AS60" i="1"/>
  <c r="AN47" i="1"/>
  <c r="AR60" i="1"/>
  <c r="AL60" i="1"/>
  <c r="L60" i="1"/>
  <c r="K60" i="1"/>
  <c r="I60" i="1"/>
  <c r="G60" i="1"/>
  <c r="BC59" i="1"/>
  <c r="BA59" i="1"/>
  <c r="AY59" i="1"/>
  <c r="AW59" i="1"/>
  <c r="AU59" i="1"/>
  <c r="AT59" i="1"/>
  <c r="AS59" i="1"/>
  <c r="AN46" i="1"/>
  <c r="AR59" i="1"/>
  <c r="AL59" i="1"/>
  <c r="L59" i="1"/>
  <c r="K59" i="1"/>
  <c r="I59" i="1"/>
  <c r="G59" i="1"/>
  <c r="BC58" i="1"/>
  <c r="BA58" i="1"/>
  <c r="AY58" i="1"/>
  <c r="AW58" i="1"/>
  <c r="AU58" i="1"/>
  <c r="AT58" i="1"/>
  <c r="AS58" i="1"/>
  <c r="AN45" i="1"/>
  <c r="AR58" i="1"/>
  <c r="AL58" i="1"/>
  <c r="L58" i="1"/>
  <c r="K58" i="1"/>
  <c r="I58" i="1"/>
  <c r="G58" i="1"/>
  <c r="BC57" i="1"/>
  <c r="BA57" i="1"/>
  <c r="AY57" i="1"/>
  <c r="AW57" i="1"/>
  <c r="AU57" i="1"/>
  <c r="AT57" i="1"/>
  <c r="AS57" i="1"/>
  <c r="AN44" i="1"/>
  <c r="AR57" i="1"/>
  <c r="AL57" i="1"/>
  <c r="L57" i="1"/>
  <c r="K57" i="1"/>
  <c r="I57" i="1"/>
  <c r="G57" i="1"/>
  <c r="BC56" i="1"/>
  <c r="BA56" i="1"/>
  <c r="AY56" i="1"/>
  <c r="AW56" i="1"/>
  <c r="AU56" i="1"/>
  <c r="AT56" i="1"/>
  <c r="AS56" i="1"/>
  <c r="AN43" i="1"/>
  <c r="AR56" i="1"/>
  <c r="AL56" i="1"/>
  <c r="L56" i="1"/>
  <c r="K56" i="1"/>
  <c r="I56" i="1"/>
  <c r="G56" i="1"/>
  <c r="BC55" i="1"/>
  <c r="BA55" i="1"/>
  <c r="AY55" i="1"/>
  <c r="AW55" i="1"/>
  <c r="AU55" i="1"/>
  <c r="AT55" i="1"/>
  <c r="AS55" i="1"/>
  <c r="AN42" i="1"/>
  <c r="AR55" i="1"/>
  <c r="AL55" i="1"/>
  <c r="L55" i="1"/>
  <c r="K55" i="1"/>
  <c r="I55" i="1"/>
  <c r="G55" i="1"/>
  <c r="BC54" i="1"/>
  <c r="BA54" i="1"/>
  <c r="AY54" i="1"/>
  <c r="AW54" i="1"/>
  <c r="AU54" i="1"/>
  <c r="AT54" i="1"/>
  <c r="AS54" i="1"/>
  <c r="AN41" i="1"/>
  <c r="AR54" i="1"/>
  <c r="AL54" i="1"/>
  <c r="L54" i="1"/>
  <c r="K54" i="1"/>
  <c r="I54" i="1"/>
  <c r="G54" i="1"/>
  <c r="BC53" i="1"/>
  <c r="BA53" i="1"/>
  <c r="AY53" i="1"/>
  <c r="AW53" i="1"/>
  <c r="AU53" i="1"/>
  <c r="AT53" i="1"/>
  <c r="AS53" i="1"/>
  <c r="AN40" i="1"/>
  <c r="AR53" i="1"/>
  <c r="AL53" i="1"/>
  <c r="L53" i="1"/>
  <c r="K53" i="1"/>
  <c r="I53" i="1"/>
  <c r="G53" i="1"/>
  <c r="BC52" i="1"/>
  <c r="BA52" i="1"/>
  <c r="AY52" i="1"/>
  <c r="AW52" i="1"/>
  <c r="AU52" i="1"/>
  <c r="AT52" i="1"/>
  <c r="AS52" i="1"/>
  <c r="AN39" i="1"/>
  <c r="AR52" i="1"/>
  <c r="AL52" i="1"/>
  <c r="L52" i="1"/>
  <c r="K52" i="1"/>
  <c r="I52" i="1"/>
  <c r="G52" i="1"/>
  <c r="BC51" i="1"/>
  <c r="BA51" i="1"/>
  <c r="AY51" i="1"/>
  <c r="AW51" i="1"/>
  <c r="AU51" i="1"/>
  <c r="AT51" i="1"/>
  <c r="AS51" i="1"/>
  <c r="AN38" i="1"/>
  <c r="AR51" i="1"/>
  <c r="AL51" i="1"/>
  <c r="L51" i="1"/>
  <c r="K51" i="1"/>
  <c r="I51" i="1"/>
  <c r="G51" i="1"/>
  <c r="BC50" i="1"/>
  <c r="BA50" i="1"/>
  <c r="AY50" i="1"/>
  <c r="AW50" i="1"/>
  <c r="AU50" i="1"/>
  <c r="AT50" i="1"/>
  <c r="AS50" i="1"/>
  <c r="AN37" i="1"/>
  <c r="AR50" i="1"/>
  <c r="AL50" i="1"/>
  <c r="L50" i="1"/>
  <c r="K50" i="1"/>
  <c r="I50" i="1"/>
  <c r="G50" i="1"/>
  <c r="BC49" i="1"/>
  <c r="BA49" i="1"/>
  <c r="AY49" i="1"/>
  <c r="AW49" i="1"/>
  <c r="AU49" i="1"/>
  <c r="AT49" i="1"/>
  <c r="AS49" i="1"/>
  <c r="AN36" i="1"/>
  <c r="AR49" i="1"/>
  <c r="AL49" i="1"/>
  <c r="L49" i="1"/>
  <c r="K49" i="1"/>
  <c r="I49" i="1"/>
  <c r="G49" i="1"/>
  <c r="BC48" i="1"/>
  <c r="BA48" i="1"/>
  <c r="AY48" i="1"/>
  <c r="AW48" i="1"/>
  <c r="AU48" i="1"/>
  <c r="AT48" i="1"/>
  <c r="AS48" i="1"/>
  <c r="AN35" i="1"/>
  <c r="AR48" i="1"/>
  <c r="AL48" i="1"/>
  <c r="L48" i="1"/>
  <c r="K48" i="1"/>
  <c r="I48" i="1"/>
  <c r="G48" i="1"/>
  <c r="BC47" i="1"/>
  <c r="BA47" i="1"/>
  <c r="AY47" i="1"/>
  <c r="AW47" i="1"/>
  <c r="AU47" i="1"/>
  <c r="AT47" i="1"/>
  <c r="AS47" i="1"/>
  <c r="AN34" i="1"/>
  <c r="AR47" i="1"/>
  <c r="AL47" i="1"/>
  <c r="L47" i="1"/>
  <c r="K47" i="1"/>
  <c r="I47" i="1"/>
  <c r="G47" i="1"/>
  <c r="BC46" i="1"/>
  <c r="BA46" i="1"/>
  <c r="AY46" i="1"/>
  <c r="AW46" i="1"/>
  <c r="AU46" i="1"/>
  <c r="AT46" i="1"/>
  <c r="AS46" i="1"/>
  <c r="AN33" i="1"/>
  <c r="AR46" i="1"/>
  <c r="AL46" i="1"/>
  <c r="L46" i="1"/>
  <c r="K46" i="1"/>
  <c r="I46" i="1"/>
  <c r="G46" i="1"/>
  <c r="BC45" i="1"/>
  <c r="BA45" i="1"/>
  <c r="AY45" i="1"/>
  <c r="AW45" i="1"/>
  <c r="AU45" i="1"/>
  <c r="AT45" i="1"/>
  <c r="AS45" i="1"/>
  <c r="AN32" i="1"/>
  <c r="AR45" i="1"/>
  <c r="AL45" i="1"/>
  <c r="L45" i="1"/>
  <c r="K45" i="1"/>
  <c r="I45" i="1"/>
  <c r="G45" i="1"/>
  <c r="BC44" i="1"/>
  <c r="BA44" i="1"/>
  <c r="AY44" i="1"/>
  <c r="AW44" i="1"/>
  <c r="AU44" i="1"/>
  <c r="AT44" i="1"/>
  <c r="AS44" i="1"/>
  <c r="AN31" i="1"/>
  <c r="AR44" i="1"/>
  <c r="AL44" i="1"/>
  <c r="L44" i="1"/>
  <c r="K44" i="1"/>
  <c r="I44" i="1"/>
  <c r="G44" i="1"/>
  <c r="BC43" i="1"/>
  <c r="BA43" i="1"/>
  <c r="AY43" i="1"/>
  <c r="AW43" i="1"/>
  <c r="AU43" i="1"/>
  <c r="AT43" i="1"/>
  <c r="AS43" i="1"/>
  <c r="AN30" i="1"/>
  <c r="AR43" i="1"/>
  <c r="AL43" i="1"/>
  <c r="L43" i="1"/>
  <c r="K43" i="1"/>
  <c r="I43" i="1"/>
  <c r="G43" i="1"/>
  <c r="BC42" i="1"/>
  <c r="BA42" i="1"/>
  <c r="AY42" i="1"/>
  <c r="AW42" i="1"/>
  <c r="AU42" i="1"/>
  <c r="AT42" i="1"/>
  <c r="AS42" i="1"/>
  <c r="AN29" i="1"/>
  <c r="AR42" i="1"/>
  <c r="AL42" i="1"/>
  <c r="L42" i="1"/>
  <c r="K42" i="1"/>
  <c r="I42" i="1"/>
  <c r="G42" i="1"/>
  <c r="BC41" i="1"/>
  <c r="BA41" i="1"/>
  <c r="AY41" i="1"/>
  <c r="AW41" i="1"/>
  <c r="AU41" i="1"/>
  <c r="AT41" i="1"/>
  <c r="AS41" i="1"/>
  <c r="AN28" i="1"/>
  <c r="AR41" i="1"/>
  <c r="AL41" i="1"/>
  <c r="L41" i="1"/>
  <c r="K41" i="1"/>
  <c r="I41" i="1"/>
  <c r="G41" i="1"/>
  <c r="BC40" i="1"/>
  <c r="BA40" i="1"/>
  <c r="AY40" i="1"/>
  <c r="AW40" i="1"/>
  <c r="AU40" i="1"/>
  <c r="AT40" i="1"/>
  <c r="AS40" i="1"/>
  <c r="AN27" i="1"/>
  <c r="AR40" i="1"/>
  <c r="AL40" i="1"/>
  <c r="L40" i="1"/>
  <c r="K40" i="1"/>
  <c r="I40" i="1"/>
  <c r="G40" i="1"/>
  <c r="BC39" i="1"/>
  <c r="BA39" i="1"/>
  <c r="AY39" i="1"/>
  <c r="AW39" i="1"/>
  <c r="AU39" i="1"/>
  <c r="AT39" i="1"/>
  <c r="AS39" i="1"/>
  <c r="AN26" i="1"/>
  <c r="AR39" i="1"/>
  <c r="AL39" i="1"/>
  <c r="L39" i="1"/>
  <c r="K39" i="1"/>
  <c r="I39" i="1"/>
  <c r="G39" i="1"/>
  <c r="BC38" i="1"/>
  <c r="BA38" i="1"/>
  <c r="AY38" i="1"/>
  <c r="AW38" i="1"/>
  <c r="AU38" i="1"/>
  <c r="AT38" i="1"/>
  <c r="AS38" i="1"/>
  <c r="AN25" i="1"/>
  <c r="AR38" i="1"/>
  <c r="AL38" i="1"/>
  <c r="L38" i="1"/>
  <c r="K38" i="1"/>
  <c r="I38" i="1"/>
  <c r="G38" i="1"/>
  <c r="BC37" i="1"/>
  <c r="BA37" i="1"/>
  <c r="AY37" i="1"/>
  <c r="AW37" i="1"/>
  <c r="AU37" i="1"/>
  <c r="AT37" i="1"/>
  <c r="AS37" i="1"/>
  <c r="AN24" i="1"/>
  <c r="AR37" i="1"/>
  <c r="AL37" i="1"/>
  <c r="L37" i="1"/>
  <c r="K37" i="1"/>
  <c r="I37" i="1"/>
  <c r="G37" i="1"/>
  <c r="BC36" i="1"/>
  <c r="BA36" i="1"/>
  <c r="AY36" i="1"/>
  <c r="AW36" i="1"/>
  <c r="AU36" i="1"/>
  <c r="AT36" i="1"/>
  <c r="AS36" i="1"/>
  <c r="AN23" i="1"/>
  <c r="AR36" i="1"/>
  <c r="AL36" i="1"/>
  <c r="L36" i="1"/>
  <c r="K36" i="1"/>
  <c r="I36" i="1"/>
  <c r="G36" i="1"/>
  <c r="BC35" i="1"/>
  <c r="BA35" i="1"/>
  <c r="AY35" i="1"/>
  <c r="AW35" i="1"/>
  <c r="AU35" i="1"/>
  <c r="AT35" i="1"/>
  <c r="AS35" i="1"/>
  <c r="AN22" i="1"/>
  <c r="AR35" i="1"/>
  <c r="AL35" i="1"/>
  <c r="L35" i="1"/>
  <c r="K35" i="1"/>
  <c r="I35" i="1"/>
  <c r="G35" i="1"/>
  <c r="BC34" i="1"/>
  <c r="BA34" i="1"/>
  <c r="AY34" i="1"/>
  <c r="AW34" i="1"/>
  <c r="AU34" i="1"/>
  <c r="AT34" i="1"/>
  <c r="AS34" i="1"/>
  <c r="AN21" i="1"/>
  <c r="AR34" i="1"/>
  <c r="AL34" i="1"/>
  <c r="L34" i="1"/>
  <c r="K34" i="1"/>
  <c r="I34" i="1"/>
  <c r="G34" i="1"/>
  <c r="BC33" i="1"/>
  <c r="BA33" i="1"/>
  <c r="AY33" i="1"/>
  <c r="AW33" i="1"/>
  <c r="AU33" i="1"/>
  <c r="AT33" i="1"/>
  <c r="AS33" i="1"/>
  <c r="AN20" i="1"/>
  <c r="AR33" i="1"/>
  <c r="AL33" i="1"/>
  <c r="L33" i="1"/>
  <c r="K33" i="1"/>
  <c r="I33" i="1"/>
  <c r="G33" i="1"/>
  <c r="BC32" i="1"/>
  <c r="BA32" i="1"/>
  <c r="AY32" i="1"/>
  <c r="AW32" i="1"/>
  <c r="AU32" i="1"/>
  <c r="AT32" i="1"/>
  <c r="AS32" i="1"/>
  <c r="AN19" i="1"/>
  <c r="AR32" i="1"/>
  <c r="AL32" i="1"/>
  <c r="L32" i="1"/>
  <c r="K32" i="1"/>
  <c r="I32" i="1"/>
  <c r="G32" i="1"/>
  <c r="BC31" i="1"/>
  <c r="BA31" i="1"/>
  <c r="AY31" i="1"/>
  <c r="AW31" i="1"/>
  <c r="AU31" i="1"/>
  <c r="AT31" i="1"/>
  <c r="AS31" i="1"/>
  <c r="AN18" i="1"/>
  <c r="AR31" i="1"/>
  <c r="AL31" i="1"/>
  <c r="L31" i="1"/>
  <c r="K31" i="1"/>
  <c r="I31" i="1"/>
  <c r="G31" i="1"/>
  <c r="BC30" i="1"/>
  <c r="BA30" i="1"/>
  <c r="AY30" i="1"/>
  <c r="AW30" i="1"/>
  <c r="AU30" i="1"/>
  <c r="AT30" i="1"/>
  <c r="AS30" i="1"/>
  <c r="AN17" i="1"/>
  <c r="AR30" i="1"/>
  <c r="AL30" i="1"/>
  <c r="L30" i="1"/>
  <c r="K30" i="1"/>
  <c r="I30" i="1"/>
  <c r="G30" i="1"/>
  <c r="BC29" i="1"/>
  <c r="BA29" i="1"/>
  <c r="AY29" i="1"/>
  <c r="AW29" i="1"/>
  <c r="AU29" i="1"/>
  <c r="AT29" i="1"/>
  <c r="AS29" i="1"/>
  <c r="AN16" i="1"/>
  <c r="AR29" i="1"/>
  <c r="AL29" i="1"/>
  <c r="L29" i="1"/>
  <c r="K29" i="1"/>
  <c r="I29" i="1"/>
  <c r="G29" i="1"/>
  <c r="BC28" i="1"/>
  <c r="BA28" i="1"/>
  <c r="AY28" i="1"/>
  <c r="AW28" i="1"/>
  <c r="AU28" i="1"/>
  <c r="AT28" i="1"/>
  <c r="AS28" i="1"/>
  <c r="AN15" i="1"/>
  <c r="AR28" i="1"/>
  <c r="AL28" i="1"/>
  <c r="L28" i="1"/>
  <c r="K28" i="1"/>
  <c r="I28" i="1"/>
  <c r="G28" i="1"/>
  <c r="BC27" i="1"/>
  <c r="BA27" i="1"/>
  <c r="AY27" i="1"/>
  <c r="AW27" i="1"/>
  <c r="AU27" i="1"/>
  <c r="AT27" i="1"/>
  <c r="AS27" i="1"/>
  <c r="AN14" i="1"/>
  <c r="AR27" i="1"/>
  <c r="AL27" i="1"/>
  <c r="L27" i="1"/>
  <c r="K27" i="1"/>
  <c r="I27" i="1"/>
  <c r="G27" i="1"/>
  <c r="BC26" i="1"/>
  <c r="BA26" i="1"/>
  <c r="AY26" i="1"/>
  <c r="AW26" i="1"/>
  <c r="AU26" i="1"/>
  <c r="AT26" i="1"/>
  <c r="AS26" i="1"/>
  <c r="AN13" i="1"/>
  <c r="AR26" i="1"/>
  <c r="AL26" i="1"/>
  <c r="L26" i="1"/>
  <c r="K26" i="1"/>
  <c r="I26" i="1"/>
  <c r="G26" i="1"/>
  <c r="BC25" i="1"/>
  <c r="BA25" i="1"/>
  <c r="AY25" i="1"/>
  <c r="AW25" i="1"/>
  <c r="AU25" i="1"/>
  <c r="AT25" i="1"/>
  <c r="AS25" i="1"/>
  <c r="AR25" i="1"/>
  <c r="AL25" i="1"/>
  <c r="L25" i="1"/>
  <c r="K25" i="1"/>
  <c r="I25" i="1"/>
  <c r="G25" i="1"/>
  <c r="BC24" i="1"/>
  <c r="BA24" i="1"/>
  <c r="AY24" i="1"/>
  <c r="AW24" i="1"/>
  <c r="AU24" i="1"/>
  <c r="AT24" i="1"/>
  <c r="AS24" i="1"/>
  <c r="AR24" i="1"/>
  <c r="AL24" i="1"/>
  <c r="L24" i="1"/>
  <c r="K24" i="1"/>
  <c r="I24" i="1"/>
  <c r="G24" i="1"/>
  <c r="BC23" i="1"/>
  <c r="BA23" i="1"/>
  <c r="AY23" i="1"/>
  <c r="AW23" i="1"/>
  <c r="AU23" i="1"/>
  <c r="AT23" i="1"/>
  <c r="AS23" i="1"/>
  <c r="AR23" i="1"/>
  <c r="AL23" i="1"/>
  <c r="L23" i="1"/>
  <c r="K23" i="1"/>
  <c r="I23" i="1"/>
  <c r="G23" i="1"/>
  <c r="BC22" i="1"/>
  <c r="BA22" i="1"/>
  <c r="AY22" i="1"/>
  <c r="AW22" i="1"/>
  <c r="AU22" i="1"/>
  <c r="AT22" i="1"/>
  <c r="AS22" i="1"/>
  <c r="AR22" i="1"/>
  <c r="AL22" i="1"/>
  <c r="L22" i="1"/>
  <c r="K22" i="1"/>
  <c r="I22" i="1"/>
  <c r="G22" i="1"/>
  <c r="BC21" i="1"/>
  <c r="BA21" i="1"/>
  <c r="AY21" i="1"/>
  <c r="AW21" i="1"/>
  <c r="AU21" i="1"/>
  <c r="AT21" i="1"/>
  <c r="AS21" i="1"/>
  <c r="AR21" i="1"/>
  <c r="AL21" i="1"/>
  <c r="L21" i="1"/>
  <c r="K21" i="1"/>
  <c r="I21" i="1"/>
  <c r="G21" i="1"/>
  <c r="BC20" i="1"/>
  <c r="BA20" i="1"/>
  <c r="AY20" i="1"/>
  <c r="AW20" i="1"/>
  <c r="AU20" i="1"/>
  <c r="AT20" i="1"/>
  <c r="AS20" i="1"/>
  <c r="AR20" i="1"/>
  <c r="AL20" i="1"/>
  <c r="L20" i="1"/>
  <c r="K20" i="1"/>
  <c r="I20" i="1"/>
  <c r="G20" i="1"/>
  <c r="BC19" i="1"/>
  <c r="BA19" i="1"/>
  <c r="AY19" i="1"/>
  <c r="AW19" i="1"/>
  <c r="AU19" i="1"/>
  <c r="AT19" i="1"/>
  <c r="AS19" i="1"/>
  <c r="AR19" i="1"/>
  <c r="AL19" i="1"/>
  <c r="L19" i="1"/>
  <c r="K19" i="1"/>
  <c r="I19" i="1"/>
  <c r="G19" i="1"/>
  <c r="BC18" i="1"/>
  <c r="BA18" i="1"/>
  <c r="AY18" i="1"/>
  <c r="AW18" i="1"/>
  <c r="AU18" i="1"/>
  <c r="AT18" i="1"/>
  <c r="AS18" i="1"/>
  <c r="AR18" i="1"/>
  <c r="AL18" i="1"/>
  <c r="L18" i="1"/>
  <c r="K18" i="1"/>
  <c r="I18" i="1"/>
  <c r="G18" i="1"/>
  <c r="BC17" i="1"/>
  <c r="BA17" i="1"/>
  <c r="AY17" i="1"/>
  <c r="AW17" i="1"/>
  <c r="AU17" i="1"/>
  <c r="AT17" i="1"/>
  <c r="AS17" i="1"/>
  <c r="AR17" i="1"/>
  <c r="AL17" i="1"/>
  <c r="L17" i="1"/>
  <c r="K17" i="1"/>
  <c r="I17" i="1"/>
  <c r="G17" i="1"/>
  <c r="BC16" i="1"/>
  <c r="BA16" i="1"/>
  <c r="AY16" i="1"/>
  <c r="AW16" i="1"/>
  <c r="AU16" i="1"/>
  <c r="AT16" i="1"/>
  <c r="AS16" i="1"/>
  <c r="AR16" i="1"/>
  <c r="AL16" i="1"/>
  <c r="L16" i="1"/>
  <c r="K16" i="1"/>
  <c r="I16" i="1"/>
  <c r="G16" i="1"/>
  <c r="BC15" i="1"/>
  <c r="BA15" i="1"/>
  <c r="AY15" i="1"/>
  <c r="AW15" i="1"/>
  <c r="AU15" i="1"/>
  <c r="AT15" i="1"/>
  <c r="AS15" i="1"/>
  <c r="AR15" i="1"/>
  <c r="AL15" i="1"/>
  <c r="L15" i="1"/>
  <c r="K15" i="1"/>
  <c r="I15" i="1"/>
  <c r="G15" i="1"/>
  <c r="BC14" i="1"/>
  <c r="BA14" i="1"/>
  <c r="AY14" i="1"/>
  <c r="AW14" i="1"/>
  <c r="AU14" i="1"/>
  <c r="AT14" i="1"/>
  <c r="AS14" i="1"/>
  <c r="AR14" i="1"/>
  <c r="AL14" i="1"/>
  <c r="L14" i="1"/>
  <c r="K14" i="1"/>
  <c r="I14" i="1"/>
  <c r="G14" i="1"/>
  <c r="BC13" i="1"/>
  <c r="BA13" i="1"/>
  <c r="AY13" i="1"/>
  <c r="AW13" i="1"/>
  <c r="AU12" i="1"/>
  <c r="AU13" i="1"/>
  <c r="AT12" i="1"/>
  <c r="AT13" i="1"/>
  <c r="AS12" i="1"/>
  <c r="AS13" i="1"/>
  <c r="AR13" i="1"/>
  <c r="AL13" i="1"/>
  <c r="L13" i="1"/>
  <c r="K13" i="1"/>
  <c r="I13" i="1"/>
  <c r="G13" i="1"/>
  <c r="AR12" i="1"/>
  <c r="B12" i="1"/>
  <c r="Q5" i="1"/>
  <c r="E5" i="1"/>
  <c r="S4" i="1"/>
  <c r="AO3" i="1"/>
  <c r="Q3" i="1"/>
  <c r="AO1" i="1"/>
  <c r="H19" i="4"/>
  <c r="B12" i="4"/>
</calcChain>
</file>

<file path=xl/sharedStrings.xml><?xml version="1.0" encoding="utf-8"?>
<sst xmlns="http://schemas.openxmlformats.org/spreadsheetml/2006/main" count="222" uniqueCount="158">
  <si>
    <t>Show</t>
  </si>
  <si>
    <t>Hide</t>
  </si>
  <si>
    <t>Bucket 1</t>
  </si>
  <si>
    <t>Bucket 2</t>
  </si>
  <si>
    <t>Large-cap (stocks/MF)</t>
  </si>
  <si>
    <t>Fixed Income (Bank FD)</t>
  </si>
  <si>
    <t>Bucket 3</t>
  </si>
  <si>
    <t>Mid-/Small-cap (stocks/MF)</t>
  </si>
  <si>
    <t>Bucket 4</t>
  </si>
  <si>
    <t>Bucket 5</t>
  </si>
  <si>
    <t>Hybrid: Balanced Fund</t>
  </si>
  <si>
    <t>Debt Fund</t>
  </si>
  <si>
    <t>Instrument</t>
  </si>
  <si>
    <t xml:space="preserve"> </t>
  </si>
  <si>
    <t>Current monthly expenses</t>
  </si>
  <si>
    <t>Time to retirement</t>
  </si>
  <si>
    <t>inflation prior retirement</t>
  </si>
  <si>
    <t>Years in retirement</t>
  </si>
  <si>
    <t>inflation post-retirement</t>
  </si>
  <si>
    <t>Allocation</t>
  </si>
  <si>
    <t>Year</t>
  </si>
  <si>
    <t>Fixed</t>
  </si>
  <si>
    <t>Hybrid</t>
  </si>
  <si>
    <t>Bal. Fund</t>
  </si>
  <si>
    <t>Large-cap</t>
  </si>
  <si>
    <t>Stocks/MF</t>
  </si>
  <si>
    <t>Mid/Small Cap</t>
  </si>
  <si>
    <t>Transfers to</t>
  </si>
  <si>
    <t>Balanced Fund</t>
  </si>
  <si>
    <t>more than the available balance. Decrease amt until the 'red' goes away</t>
  </si>
  <si>
    <t>(eg. FDs)</t>
  </si>
  <si>
    <t xml:space="preserve">If cells in the 'transfers' coumns turn red it means you are trying to transfer </t>
  </si>
  <si>
    <t xml:space="preserve"> Income</t>
  </si>
  <si>
    <t xml:space="preserve">Mid/Small </t>
  </si>
  <si>
    <t>Cap</t>
  </si>
  <si>
    <t>Random Annual Returns</t>
  </si>
  <si>
    <t>Compound Annual Growth Rate</t>
  </si>
  <si>
    <t>Average Return</t>
  </si>
  <si>
    <t>Variation from average return (std. dev.)</t>
  </si>
  <si>
    <t>Fixed Return</t>
  </si>
  <si>
    <t>Fill only cell in green</t>
  </si>
  <si>
    <t>Is there a way to cope with a lower corpus?</t>
  </si>
  <si>
    <t>Is there a way to make the corpus last longer?</t>
  </si>
  <si>
    <t>This simulator attempts to see if this is possible*</t>
  </si>
  <si>
    <t>Enter corpus you think will fund your retirement</t>
  </si>
  <si>
    <t>If you don't want to use the above amt take a guess</t>
  </si>
  <si>
    <t xml:space="preserve">The corpus that you enter will divided into 5 buckets, that is different instruments as listed below. </t>
  </si>
  <si>
    <t>Enter the % allocation to each bucket. Bucket 1 represents a fixed income instrument like a FD. So returns will not vary</t>
  </si>
  <si>
    <t>For the other buckets you need to enter an average return and variation from this average (explained below)</t>
  </si>
  <si>
    <t>Income for first few retirement years will come from bucket 1. This allows enough time for the sum invested in other buckets</t>
  </si>
  <si>
    <t>to appreciate. You can transfer from buckets 2-5 to bucket 1 if (a) you have made good returns in a year or (b) you don't have</t>
  </si>
  <si>
    <t>enough funds in bucket 1 to continue. You can transfer sums among buckets 2-5.</t>
  </si>
  <si>
    <t>This corpus will become zero at the end of retirement period</t>
  </si>
  <si>
    <t>Usually it is recommend that one makes a transfer to bucket 1 only if the average compounded rate of return is close to historcial</t>
  </si>
  <si>
    <t>returns (10-15% approx.). Unfortunately inflation in India hovers around 8% and this may not work</t>
  </si>
  <si>
    <t>If we use a so-called normal distribution (the most common in nature) then about 68% of all return will lie centered about the average</t>
  </si>
  <si>
    <t>return. Such returns will range from (15%-20%) to (15% + 20%) or -5% to 35%. Here 20% is half the standard deviation. Lower the</t>
  </si>
  <si>
    <t>market data. However we don't have enough data on Indian markets to see if this is suitable. However given the omnipresence of such</t>
  </si>
  <si>
    <t>distributions in nature it is a safe bet as long as we keep in mind real life is more complicated than we can ever imagine!</t>
  </si>
  <si>
    <t>Read and complete entries in this column first</t>
  </si>
  <si>
    <t>This allocation (bucket 1) will approx. last for (years)*</t>
  </si>
  <si>
    <t xml:space="preserve"> Once you have read &amp; completed the entried in this sheet, proceed to the 'instructions' page to learn how to use the the simulator. You could then  proceed to the 'Simulator' page</t>
  </si>
  <si>
    <t xml:space="preserve"> The simulator will randomly generate (uncorrelated) returns for each year in retirement based on the input average return and variation</t>
  </si>
  <si>
    <t>B2</t>
  </si>
  <si>
    <t>B3</t>
  </si>
  <si>
    <t>B4</t>
  </si>
  <si>
    <t>B5</t>
  </si>
  <si>
    <t>Bucket</t>
  </si>
  <si>
    <t>sys wit</t>
  </si>
  <si>
    <t>avg ret</t>
  </si>
  <si>
    <t>rand ret</t>
  </si>
  <si>
    <t>CAGR</t>
  </si>
  <si>
    <t>This approach is known as defined withdrawals strategy or the retirement bucket strategy</t>
  </si>
  <si>
    <t>This is known as the systematic withdrawals strategy</t>
  </si>
  <si>
    <t>strategy</t>
  </si>
  <si>
    <t>If you got this error and didn't want to make a transfer it means that the returns next year will wipe out the balance in the concerned bucket!</t>
  </si>
  <si>
    <t>As of now you don’t have a choice but to start all over again. You could of course transfer the balance and proceed. The error will go away but</t>
  </si>
  <si>
    <t>that is like predicting the future and hence cheating!</t>
  </si>
  <si>
    <t>Current Year</t>
  </si>
  <si>
    <t>Bucket 1 can support expenses up to year</t>
  </si>
  <si>
    <t>Note on error: "You don't have enough funds in Bucket 5 to make this transfer! If didn't want to make a transfer please see the 'Notes' sheet!"</t>
  </si>
  <si>
    <t xml:space="preserve">This simulator is inspired by and influenced by the free Investment Income Simulator available at </t>
  </si>
  <si>
    <t xml:space="preserve">That said the simulator has been bulit independently from the ground-up. Why do this when something is already available for free? I believe my version offers </t>
  </si>
  <si>
    <t xml:space="preserve">additional flexibility and features. These include: </t>
  </si>
  <si>
    <t>Mr. P V Subramanyam (subramoney.com) introduced the idea of retirement buckets and urged me to a build a calculator. When I looked around for</t>
  </si>
  <si>
    <t xml:space="preserve">Is it correct to use software to predict market returns? Is the math behind this a proven one? </t>
  </si>
  <si>
    <t>Background and Motivation</t>
  </si>
  <si>
    <t>This is a practice tool and not a calculator. It models a situation with different volatilites and prepares you for handling your retirement corpus.</t>
  </si>
  <si>
    <r>
      <t xml:space="preserve">The bottomline: </t>
    </r>
    <r>
      <rPr>
        <sz val="10"/>
        <rFont val="Arial"/>
        <family val="2"/>
      </rPr>
      <t>My idea of making this calculator is to introduce a technique which if used properly might (only might) be a more</t>
    </r>
  </si>
  <si>
    <t>efficient way of managing a retirement corpus. Is this suitable for everyone? Unfortunately no. Some experience in at least handling mutual fund investments maybe necessary.</t>
  </si>
  <si>
    <t>A financial planner with experience in handling retirment buckets would certainly help. Finding one is another matter</t>
  </si>
  <si>
    <t>3. Choice of defining the volatility in each bucket</t>
  </si>
  <si>
    <t>2. a standard retirment calculator and comparison with the bucket stratergy</t>
  </si>
  <si>
    <t>Some useful features in the ISG version are not (yet!) available. There are also some differences. For example:</t>
  </si>
  <si>
    <t xml:space="preserve">I don't care! Forgive me for soudning a tad irresponsible. This is the only stand to take when there is no universal agreement on which model </t>
  </si>
  <si>
    <t>(Monte Carlo or Historical) to use for returns and which distribution to use or whether to use one at all!</t>
  </si>
  <si>
    <t>The more times you play it the better you get. This is not a tool that claims to mimic market conditions. I don't think any toolmaker can make that claim</t>
  </si>
  <si>
    <t>what was available I first ound a terrific free version offered by ISG Planning (and stopped looking!)</t>
  </si>
  <si>
    <t>1. an extra investment bucket with information on how long the initial allocation to bucket 1 will last.</t>
  </si>
  <si>
    <t>To continue transfer</t>
  </si>
  <si>
    <t>BALANCES (Lakhs)</t>
  </si>
  <si>
    <t>TRANSFERS (Lakhs)</t>
  </si>
  <si>
    <t>lakhs to bucket 1</t>
  </si>
  <si>
    <r>
      <t xml:space="preserve">1. </t>
    </r>
    <r>
      <rPr>
        <sz val="14"/>
        <rFont val="Arial"/>
        <family val="2"/>
      </rPr>
      <t>To obtain a fresh set of random returns press this</t>
    </r>
  </si>
  <si>
    <r>
      <t xml:space="preserve">2. </t>
    </r>
    <r>
      <rPr>
        <sz val="14"/>
        <rFont val="Arial"/>
        <family val="2"/>
      </rPr>
      <t>To advance to the next year press this</t>
    </r>
  </si>
  <si>
    <r>
      <t>3.</t>
    </r>
    <r>
      <rPr>
        <sz val="14"/>
        <rFont val="Arial"/>
        <family val="2"/>
      </rPr>
      <t>For the same interest rate data set click this to redo the exercise!</t>
    </r>
  </si>
  <si>
    <t>(b). compounded annual growth rate (CAGR) of the buckets.</t>
  </si>
  <si>
    <t>A good thumb rule is to sell if the CAGR is close to or above</t>
  </si>
  <si>
    <t>the average rate of each bucket you have entered in the 'Inputs' sheet</t>
  </si>
  <si>
    <r>
      <t>4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Before advancing remember to review: (a). balances in each bucket.</t>
    </r>
  </si>
  <si>
    <t>If funds are not available its game over!</t>
  </si>
  <si>
    <t>evaluate the progress of the bucket statergy</t>
  </si>
  <si>
    <t>To accommodate the plot only the last years in the table will be displayed</t>
  </si>
  <si>
    <r>
      <t>6.</t>
    </r>
    <r>
      <rPr>
        <sz val="14"/>
        <rFont val="Arial"/>
        <family val="2"/>
      </rPr>
      <t>In the screenshot 21 is the current year. However bucket 1 has funds only</t>
    </r>
  </si>
  <si>
    <t>up to year 20. So you cannot proceed unless you transfer funds into bucket 1</t>
  </si>
  <si>
    <r>
      <t xml:space="preserve">7. </t>
    </r>
    <r>
      <rPr>
        <sz val="14"/>
        <rFont val="Arial"/>
        <family val="2"/>
      </rPr>
      <t>The annual corpus obtained by three stratergies are plotted here to</t>
    </r>
  </si>
  <si>
    <t xml:space="preserve">* Please remember this is a simulation tool. It presents a series of situations with high volatility in returns to help you understand the factors that affect retirement corpus management. Althought subect to reasonable </t>
  </si>
  <si>
    <t>assumptions it can never susbtitute for real life scenarios, The take home message is managing a retirement corpus is an active exercise. Passive statergies like relying on annuities or a pension will not work for most!</t>
  </si>
  <si>
    <t>This excel sheet uses MACRO's. You will need to enable them before proceeding. Zoom each sheet according to your convenience</t>
  </si>
  <si>
    <r>
      <t xml:space="preserve">Note on Variation from average return: </t>
    </r>
    <r>
      <rPr>
        <sz val="12"/>
        <rFont val="Arial"/>
        <family val="2"/>
      </rPr>
      <t>Suppose we consider an average of 15% and variation (or standard deviation of 40%)</t>
    </r>
  </si>
  <si>
    <r>
      <t xml:space="preserve">standard deviation lower the volatility. </t>
    </r>
    <r>
      <rPr>
        <b/>
        <sz val="12"/>
        <rFont val="Arial"/>
        <family val="2"/>
      </rPr>
      <t xml:space="preserve">How justified are we in using a normal distribution? </t>
    </r>
    <r>
      <rPr>
        <sz val="12"/>
        <rFont val="Arial"/>
        <family val="2"/>
      </rPr>
      <t>It works reasonably with US</t>
    </r>
  </si>
  <si>
    <t xml:space="preserve">Thus  while the corpus grows at an average rate you draw </t>
  </si>
  <si>
    <t>from it each year  accoring to your expenses (indexed to inflation).</t>
  </si>
  <si>
    <t>Rememeber it would be tough to cope with a much lower corpus</t>
  </si>
  <si>
    <t xml:space="preserve">Systemactic withdrawals can be made in two ways: One with fixed average return as mentioned above or it can be made with varying returns from different buckets. </t>
  </si>
  <si>
    <t>If buckets are used the (weighted) average of returns from each bucket is used. The simulator calculates the total corpus in each year of retirement using all the 3 methods.</t>
  </si>
  <si>
    <t>The idea of the simulator is to try and prolong the life of the corpus (you chose!) while accouting for inflation-indexed expenses.</t>
  </si>
  <si>
    <r>
      <t xml:space="preserve">With intelligent transfers can you beat the standard withdrawal method? </t>
    </r>
    <r>
      <rPr>
        <sz val="12"/>
        <rFont val="Arial"/>
        <family val="2"/>
      </rPr>
      <t xml:space="preserve">If you are not used to equity investing then </t>
    </r>
  </si>
  <si>
    <t>you will need to try several times! Don't give up. This strategy can make a big difference to your retirement plan</t>
  </si>
  <si>
    <t>Total corpus needed to meet expenses</t>
  </si>
  <si>
    <r>
      <t xml:space="preserve">above </t>
    </r>
    <r>
      <rPr>
        <b/>
        <sz val="12"/>
        <rFont val="Arial"/>
        <family val="2"/>
      </rPr>
      <t>does not</t>
    </r>
    <r>
      <rPr>
        <sz val="12"/>
        <rFont val="Arial"/>
        <family val="2"/>
      </rPr>
      <t xml:space="preserve"> include the sum that will be used to provide the annuity</t>
    </r>
  </si>
  <si>
    <t>Enter the annuity or pension you will receive</t>
  </si>
  <si>
    <t>This is constant throughout retirement</t>
  </si>
  <si>
    <t>Annual expenses in 1st year of retirement</t>
  </si>
  <si>
    <t>Average return for post-retirement investments</t>
  </si>
  <si>
    <t>Annual rate of increase of this income</t>
  </si>
  <si>
    <t xml:space="preserve">Enter annual income from other sources during </t>
  </si>
  <si>
    <t>1st year of retirement</t>
  </si>
  <si>
    <t>If you are going to receive an annuity ensure the corpus amount you enter</t>
  </si>
  <si>
    <t>expenses</t>
  </si>
  <si>
    <t xml:space="preserve">that will be </t>
  </si>
  <si>
    <t>Net annual</t>
  </si>
  <si>
    <t>covered</t>
  </si>
  <si>
    <t>by corpus</t>
  </si>
  <si>
    <t>Net annual expenses to be covered from corpus</t>
  </si>
  <si>
    <t>in the first year of retirement</t>
  </si>
  <si>
    <t>* The idea is to use this time to let the sum in other buckets appreciate AND transfer at oppurtune times into bucket 1. Recommended time 8-10 years.</t>
  </si>
  <si>
    <r>
      <t>Important:</t>
    </r>
    <r>
      <rPr>
        <sz val="12"/>
        <rFont val="Arial"/>
        <family val="2"/>
      </rPr>
      <t xml:space="preserve"> If the allocation column turns red, ensure the allocations add up to 100% before proceeding</t>
    </r>
  </si>
  <si>
    <t>4. Choice of including annuity and additonal income</t>
  </si>
  <si>
    <t>Sometimes the random returns may not reflect historic market trends. As this is only a informative and practice tool I don't intende to change this unless there is interest from users</t>
  </si>
  <si>
    <t>ISG Planning</t>
  </si>
  <si>
    <t>a. Correlation among the different kind of stocks</t>
  </si>
  <si>
    <t>b. Dividends from stocks is not considered</t>
  </si>
  <si>
    <t>c. The exact nature of the Monte Carlo simulation used by ISG is not known. I have simply used random returns that obey a Normal distribution without any averaging</t>
  </si>
  <si>
    <t>d. Of course the ISG version is way more better looking and user friendly than mine. However I am not going to lose sleep over this.</t>
  </si>
  <si>
    <t xml:space="preserve">I made this calculator because I  believe diversification (ie. Additional buckets) with a wide range in volatility maybe necessary to combat high inflation rates that prevail in India. </t>
  </si>
  <si>
    <r>
      <t xml:space="preserve">Remember: </t>
    </r>
    <r>
      <rPr>
        <sz val="10"/>
        <rFont val="Arial"/>
        <family val="2"/>
      </rPr>
      <t>This is a work in progress. I have tried this out several times to weed out errors. No guarantees can however be made that it is error free. If you find a bug kindly bring it to my notice.</t>
    </r>
  </si>
  <si>
    <t>Your corpus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</si>
</sst>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&quot;$&quot;#,##0"/>
    <numFmt numFmtId="166" formatCode="0.0"/>
    <numFmt numFmtId="167" formatCode="0.000"/>
    <numFmt numFmtId="168" formatCode="0.0000"/>
    <numFmt numFmtId="169" formatCode="0.00000000000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0"/>
      <color indexed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Protection="1">
      <protection locked="0"/>
    </xf>
    <xf numFmtId="2" fontId="7" fillId="0" borderId="0" xfId="0" applyNumberFormat="1" applyFont="1" applyFill="1" applyBorder="1" applyProtection="1"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Protection="1">
      <protection locked="0"/>
    </xf>
    <xf numFmtId="165" fontId="11" fillId="0" borderId="0" xfId="0" applyNumberFormat="1" applyFont="1" applyFill="1" applyBorder="1" applyAlignment="1" applyProtection="1">
      <alignment horizontal="center" wrapText="1"/>
      <protection locked="0"/>
    </xf>
    <xf numFmtId="166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2" fontId="11" fillId="0" borderId="0" xfId="0" applyNumberFormat="1" applyFont="1" applyFill="1" applyBorder="1" applyAlignment="1" applyProtection="1">
      <alignment horizontal="center" wrapText="1"/>
      <protection locked="0"/>
    </xf>
    <xf numFmtId="9" fontId="7" fillId="0" borderId="0" xfId="2" applyFont="1" applyFill="1" applyBorder="1" applyAlignment="1" applyProtection="1">
      <alignment horizontal="right"/>
      <protection locked="0"/>
    </xf>
    <xf numFmtId="10" fontId="7" fillId="0" borderId="0" xfId="2" applyNumberFormat="1" applyFont="1" applyFill="1" applyBorder="1" applyAlignment="1" applyProtection="1">
      <alignment horizontal="right"/>
      <protection locked="0"/>
    </xf>
    <xf numFmtId="9" fontId="7" fillId="0" borderId="0" xfId="2" applyFont="1" applyFill="1" applyBorder="1" applyProtection="1"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1" fontId="12" fillId="0" borderId="4" xfId="2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1" fontId="7" fillId="3" borderId="4" xfId="2" applyNumberFormat="1" applyFont="1" applyFill="1" applyBorder="1" applyAlignment="1" applyProtection="1">
      <alignment horizontal="center"/>
    </xf>
    <xf numFmtId="1" fontId="7" fillId="3" borderId="3" xfId="2" applyNumberFormat="1" applyFont="1" applyFill="1" applyBorder="1" applyAlignment="1" applyProtection="1">
      <alignment horizontal="center"/>
    </xf>
    <xf numFmtId="1" fontId="7" fillId="2" borderId="2" xfId="0" applyNumberFormat="1" applyFont="1" applyFill="1" applyBorder="1" applyAlignment="1" applyProtection="1">
      <alignment horizontal="center"/>
    </xf>
    <xf numFmtId="164" fontId="7" fillId="2" borderId="4" xfId="2" applyNumberFormat="1" applyFont="1" applyFill="1" applyBorder="1" applyAlignment="1" applyProtection="1">
      <alignment horizontal="center"/>
    </xf>
    <xf numFmtId="1" fontId="12" fillId="0" borderId="3" xfId="2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</xf>
    <xf numFmtId="164" fontId="5" fillId="0" borderId="5" xfId="2" applyNumberFormat="1" applyFont="1" applyFill="1" applyBorder="1" applyAlignment="1" applyProtection="1">
      <alignment horizontal="center"/>
    </xf>
    <xf numFmtId="164" fontId="5" fillId="0" borderId="4" xfId="2" applyNumberFormat="1" applyFont="1" applyFill="1" applyBorder="1" applyAlignment="1" applyProtection="1">
      <alignment horizontal="center"/>
    </xf>
    <xf numFmtId="164" fontId="12" fillId="0" borderId="4" xfId="2" applyNumberFormat="1" applyFont="1" applyFill="1" applyBorder="1" applyAlignment="1" applyProtection="1">
      <alignment horizontal="center"/>
    </xf>
    <xf numFmtId="164" fontId="7" fillId="3" borderId="5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164" fontId="12" fillId="2" borderId="4" xfId="2" applyNumberFormat="1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10" fontId="7" fillId="0" borderId="4" xfId="0" applyNumberFormat="1" applyFont="1" applyFill="1" applyBorder="1" applyAlignment="1" applyProtection="1">
      <alignment horizontal="center"/>
      <protection locked="0"/>
    </xf>
    <xf numFmtId="10" fontId="7" fillId="0" borderId="4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left"/>
      <protection locked="0"/>
    </xf>
    <xf numFmtId="1" fontId="12" fillId="0" borderId="5" xfId="2" applyNumberFormat="1" applyFont="1" applyFill="1" applyBorder="1" applyAlignment="1" applyProtection="1">
      <alignment horizontal="center"/>
    </xf>
    <xf numFmtId="0" fontId="15" fillId="0" borderId="0" xfId="0" applyFont="1"/>
    <xf numFmtId="1" fontId="7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15" fillId="0" borderId="0" xfId="0" applyFont="1" applyAlignment="1">
      <alignment horizontal="center"/>
    </xf>
    <xf numFmtId="167" fontId="7" fillId="0" borderId="0" xfId="0" applyNumberFormat="1" applyFont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10" fontId="7" fillId="7" borderId="0" xfId="2" applyNumberFormat="1" applyFont="1" applyFill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10" fontId="7" fillId="0" borderId="3" xfId="0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/>
    <xf numFmtId="0" fontId="13" fillId="2" borderId="6" xfId="0" applyFont="1" applyFill="1" applyBorder="1" applyAlignment="1" applyProtection="1">
      <alignment horizontal="center"/>
    </xf>
    <xf numFmtId="0" fontId="4" fillId="0" borderId="0" xfId="0" applyFont="1"/>
    <xf numFmtId="0" fontId="15" fillId="7" borderId="0" xfId="0" applyFont="1" applyFill="1"/>
    <xf numFmtId="0" fontId="0" fillId="7" borderId="0" xfId="0" applyFill="1"/>
    <xf numFmtId="0" fontId="4" fillId="7" borderId="0" xfId="0" applyFont="1" applyFill="1"/>
    <xf numFmtId="0" fontId="0" fillId="0" borderId="0" xfId="0" applyFill="1"/>
    <xf numFmtId="0" fontId="8" fillId="0" borderId="8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12" fillId="9" borderId="0" xfId="0" applyFont="1" applyFill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</xf>
    <xf numFmtId="164" fontId="12" fillId="0" borderId="5" xfId="2" applyNumberFormat="1" applyFont="1" applyFill="1" applyBorder="1" applyAlignment="1" applyProtection="1">
      <alignment horizont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/>
    <xf numFmtId="0" fontId="20" fillId="0" borderId="3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5" xfId="0" applyFont="1" applyBorder="1"/>
    <xf numFmtId="0" fontId="22" fillId="0" borderId="0" xfId="0" applyFont="1"/>
    <xf numFmtId="0" fontId="21" fillId="7" borderId="0" xfId="0" applyFont="1" applyFill="1" applyBorder="1"/>
    <xf numFmtId="0" fontId="22" fillId="7" borderId="0" xfId="0" applyFont="1" applyFill="1" applyBorder="1"/>
    <xf numFmtId="0" fontId="21" fillId="7" borderId="11" xfId="0" applyFont="1" applyFill="1" applyBorder="1"/>
    <xf numFmtId="0" fontId="21" fillId="7" borderId="12" xfId="0" applyFont="1" applyFill="1" applyBorder="1"/>
    <xf numFmtId="0" fontId="21" fillId="7" borderId="13" xfId="0" applyFont="1" applyFill="1" applyBorder="1"/>
    <xf numFmtId="0" fontId="21" fillId="7" borderId="7" xfId="0" applyFont="1" applyFill="1" applyBorder="1"/>
    <xf numFmtId="0" fontId="22" fillId="7" borderId="8" xfId="0" applyFont="1" applyFill="1" applyBorder="1"/>
    <xf numFmtId="0" fontId="22" fillId="7" borderId="14" xfId="0" applyFont="1" applyFill="1" applyBorder="1"/>
    <xf numFmtId="0" fontId="22" fillId="0" borderId="0" xfId="0" applyFont="1" applyFill="1" applyBorder="1"/>
    <xf numFmtId="0" fontId="21" fillId="0" borderId="0" xfId="0" applyFont="1" applyFill="1"/>
    <xf numFmtId="0" fontId="22" fillId="3" borderId="14" xfId="0" applyFont="1" applyFill="1" applyBorder="1"/>
    <xf numFmtId="0" fontId="22" fillId="0" borderId="0" xfId="0" applyFont="1" applyFill="1"/>
    <xf numFmtId="0" fontId="22" fillId="0" borderId="5" xfId="0" applyFont="1" applyBorder="1"/>
    <xf numFmtId="0" fontId="22" fillId="7" borderId="15" xfId="0" applyFont="1" applyFill="1" applyBorder="1"/>
    <xf numFmtId="0" fontId="22" fillId="7" borderId="16" xfId="0" applyFont="1" applyFill="1" applyBorder="1"/>
    <xf numFmtId="0" fontId="22" fillId="0" borderId="0" xfId="0" applyFont="1" applyFill="1"/>
    <xf numFmtId="0" fontId="22" fillId="3" borderId="0" xfId="0" applyFont="1" applyFill="1" applyBorder="1"/>
    <xf numFmtId="0" fontId="22" fillId="3" borderId="7" xfId="0" applyFont="1" applyFill="1" applyBorder="1"/>
    <xf numFmtId="0" fontId="22" fillId="3" borderId="15" xfId="0" applyFont="1" applyFill="1" applyBorder="1"/>
    <xf numFmtId="0" fontId="22" fillId="3" borderId="16" xfId="0" applyFont="1" applyFill="1" applyBorder="1"/>
    <xf numFmtId="0" fontId="22" fillId="3" borderId="8" xfId="0" applyFont="1" applyFill="1" applyBorder="1"/>
    <xf numFmtId="0" fontId="22" fillId="7" borderId="7" xfId="0" applyFont="1" applyFill="1" applyBorder="1"/>
    <xf numFmtId="0" fontId="20" fillId="3" borderId="11" xfId="0" applyFont="1" applyFill="1" applyBorder="1"/>
    <xf numFmtId="0" fontId="22" fillId="3" borderId="12" xfId="0" applyFont="1" applyFill="1" applyBorder="1"/>
    <xf numFmtId="0" fontId="22" fillId="3" borderId="13" xfId="0" applyFont="1" applyFill="1" applyBorder="1"/>
    <xf numFmtId="0" fontId="21" fillId="0" borderId="0" xfId="0" applyFont="1" applyFill="1" applyBorder="1"/>
    <xf numFmtId="0" fontId="20" fillId="0" borderId="0" xfId="0" applyFont="1" applyFill="1" applyBorder="1"/>
    <xf numFmtId="2" fontId="7" fillId="3" borderId="4" xfId="0" applyNumberFormat="1" applyFont="1" applyFill="1" applyBorder="1" applyAlignment="1" applyProtection="1">
      <alignment horizontal="center"/>
    </xf>
    <xf numFmtId="2" fontId="12" fillId="0" borderId="4" xfId="0" applyNumberFormat="1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  <protection locked="0"/>
    </xf>
    <xf numFmtId="0" fontId="23" fillId="10" borderId="4" xfId="0" applyFont="1" applyFill="1" applyBorder="1" applyAlignment="1" applyProtection="1">
      <alignment horizontal="center"/>
      <protection locked="0"/>
    </xf>
    <xf numFmtId="0" fontId="7" fillId="9" borderId="0" xfId="0" applyFont="1" applyFill="1" applyAlignment="1" applyProtection="1">
      <alignment horizontal="center"/>
      <protection locked="0"/>
    </xf>
    <xf numFmtId="1" fontId="7" fillId="9" borderId="0" xfId="0" applyNumberFormat="1" applyFont="1" applyFill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19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8" fillId="0" borderId="0" xfId="0" applyFont="1"/>
    <xf numFmtId="0" fontId="18" fillId="8" borderId="0" xfId="0" applyFont="1" applyFill="1"/>
    <xf numFmtId="0" fontId="19" fillId="8" borderId="0" xfId="0" applyFont="1" applyFill="1"/>
    <xf numFmtId="0" fontId="18" fillId="8" borderId="0" xfId="0" applyFont="1" applyFill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9" fillId="11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0" xfId="0" applyFont="1" applyFill="1" applyAlignment="1"/>
    <xf numFmtId="0" fontId="18" fillId="0" borderId="0" xfId="0" applyFont="1" applyFill="1" applyAlignment="1"/>
    <xf numFmtId="9" fontId="18" fillId="11" borderId="4" xfId="2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" fontId="18" fillId="11" borderId="4" xfId="0" applyNumberFormat="1" applyFont="1" applyFill="1" applyBorder="1" applyAlignment="1">
      <alignment horizontal="center"/>
    </xf>
    <xf numFmtId="0" fontId="19" fillId="12" borderId="0" xfId="0" applyFont="1" applyFill="1"/>
    <xf numFmtId="0" fontId="18" fillId="12" borderId="0" xfId="0" applyFont="1" applyFill="1"/>
    <xf numFmtId="0" fontId="18" fillId="13" borderId="4" xfId="0" applyFont="1" applyFill="1" applyBorder="1"/>
    <xf numFmtId="38" fontId="18" fillId="3" borderId="4" xfId="0" applyNumberFormat="1" applyFont="1" applyFill="1" applyBorder="1" applyAlignment="1">
      <alignment horizontal="center"/>
    </xf>
    <xf numFmtId="0" fontId="18" fillId="13" borderId="4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9" fontId="18" fillId="11" borderId="4" xfId="0" applyNumberFormat="1" applyFont="1" applyFill="1" applyBorder="1" applyAlignment="1">
      <alignment horizontal="center"/>
    </xf>
    <xf numFmtId="1" fontId="18" fillId="3" borderId="4" xfId="0" applyNumberFormat="1" applyFont="1" applyFill="1" applyBorder="1" applyAlignment="1">
      <alignment horizontal="center"/>
    </xf>
    <xf numFmtId="0" fontId="19" fillId="7" borderId="0" xfId="0" applyFont="1" applyFill="1" applyAlignment="1">
      <alignment horizontal="left"/>
    </xf>
    <xf numFmtId="0" fontId="18" fillId="13" borderId="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8" borderId="0" xfId="0" applyFont="1" applyFill="1" applyBorder="1"/>
    <xf numFmtId="0" fontId="18" fillId="8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left"/>
    </xf>
    <xf numFmtId="0" fontId="19" fillId="12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left"/>
    </xf>
    <xf numFmtId="0" fontId="18" fillId="12" borderId="0" xfId="0" applyFont="1" applyFill="1" applyBorder="1" applyAlignment="1">
      <alignment horizontal="center"/>
    </xf>
    <xf numFmtId="9" fontId="18" fillId="12" borderId="0" xfId="2" applyFont="1" applyFill="1" applyBorder="1" applyAlignment="1">
      <alignment horizontal="center"/>
    </xf>
    <xf numFmtId="9" fontId="18" fillId="8" borderId="0" xfId="2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8" fillId="0" borderId="0" xfId="2" applyFont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Alignment="1">
      <alignment horizontal="left"/>
    </xf>
    <xf numFmtId="0" fontId="19" fillId="12" borderId="3" xfId="0" applyFont="1" applyFill="1" applyBorder="1"/>
    <xf numFmtId="0" fontId="18" fillId="12" borderId="9" xfId="0" applyFont="1" applyFill="1" applyBorder="1"/>
    <xf numFmtId="9" fontId="18" fillId="0" borderId="0" xfId="2" applyFont="1" applyFill="1" applyBorder="1"/>
    <xf numFmtId="0" fontId="8" fillId="0" borderId="3" xfId="0" applyFont="1" applyBorder="1" applyAlignment="1" applyProtection="1">
      <alignment horizontal="center"/>
    </xf>
    <xf numFmtId="0" fontId="18" fillId="3" borderId="3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9" fontId="18" fillId="3" borderId="9" xfId="0" applyNumberFormat="1" applyFont="1" applyFill="1" applyBorder="1" applyAlignment="1">
      <alignment horizontal="center"/>
    </xf>
    <xf numFmtId="9" fontId="18" fillId="3" borderId="9" xfId="2" applyFont="1" applyFill="1" applyBorder="1" applyAlignment="1">
      <alignment horizontal="center"/>
    </xf>
    <xf numFmtId="9" fontId="18" fillId="3" borderId="5" xfId="2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8" fillId="11" borderId="1" xfId="2" applyFont="1" applyFill="1" applyBorder="1" applyAlignment="1">
      <alignment horizontal="center"/>
    </xf>
    <xf numFmtId="9" fontId="18" fillId="0" borderId="14" xfId="0" applyNumberFormat="1" applyFont="1" applyFill="1" applyBorder="1" applyAlignment="1">
      <alignment horizontal="center"/>
    </xf>
    <xf numFmtId="9" fontId="18" fillId="0" borderId="6" xfId="0" applyNumberFormat="1" applyFont="1" applyFill="1" applyBorder="1" applyAlignment="1">
      <alignment horizontal="center"/>
    </xf>
    <xf numFmtId="0" fontId="18" fillId="3" borderId="9" xfId="0" applyFont="1" applyFill="1" applyBorder="1"/>
    <xf numFmtId="0" fontId="18" fillId="3" borderId="5" xfId="0" applyFont="1" applyFill="1" applyBorder="1"/>
    <xf numFmtId="9" fontId="19" fillId="0" borderId="14" xfId="0" applyNumberFormat="1" applyFont="1" applyFill="1" applyBorder="1" applyAlignment="1">
      <alignment horizontal="left"/>
    </xf>
    <xf numFmtId="0" fontId="3" fillId="0" borderId="0" xfId="1" applyAlignment="1" applyProtection="1"/>
    <xf numFmtId="1" fontId="7" fillId="9" borderId="0" xfId="0" applyNumberFormat="1" applyFont="1" applyFill="1" applyBorder="1" applyAlignment="1" applyProtection="1">
      <alignment horizontal="center"/>
      <protection locked="0"/>
    </xf>
    <xf numFmtId="1" fontId="8" fillId="9" borderId="0" xfId="0" applyNumberFormat="1" applyFont="1" applyFill="1" applyBorder="1" applyAlignment="1" applyProtection="1">
      <alignment horizontal="center"/>
      <protection locked="0"/>
    </xf>
    <xf numFmtId="1" fontId="7" fillId="9" borderId="0" xfId="0" applyNumberFormat="1" applyFont="1" applyFill="1" applyBorder="1" applyAlignment="1" applyProtection="1">
      <alignment horizontal="center" wrapText="1"/>
      <protection locked="0"/>
    </xf>
    <xf numFmtId="1" fontId="7" fillId="9" borderId="0" xfId="2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8" fontId="18" fillId="3" borderId="4" xfId="0" applyNumberFormat="1" applyFont="1" applyFill="1" applyBorder="1" applyAlignment="1">
      <alignment horizontal="center"/>
    </xf>
    <xf numFmtId="0" fontId="10" fillId="14" borderId="0" xfId="0" applyFont="1" applyFill="1" applyAlignment="1" applyProtection="1">
      <alignment horizontal="left"/>
      <protection locked="0"/>
    </xf>
    <xf numFmtId="166" fontId="10" fillId="14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9" borderId="0" xfId="0" applyNumberFormat="1" applyFont="1" applyFill="1" applyAlignment="1" applyProtection="1">
      <alignment horizontal="center"/>
      <protection locked="0"/>
    </xf>
    <xf numFmtId="0" fontId="7" fillId="14" borderId="0" xfId="0" applyFont="1" applyFill="1" applyAlignment="1" applyProtection="1">
      <alignment horizontal="center"/>
      <protection locked="0"/>
    </xf>
    <xf numFmtId="0" fontId="7" fillId="14" borderId="0" xfId="0" applyFont="1" applyFill="1" applyBorder="1" applyAlignment="1" applyProtection="1">
      <alignment horizontal="center"/>
      <protection locked="0"/>
    </xf>
    <xf numFmtId="0" fontId="17" fillId="11" borderId="4" xfId="0" applyFont="1" applyFill="1" applyBorder="1" applyAlignment="1">
      <alignment horizontal="center"/>
    </xf>
    <xf numFmtId="9" fontId="17" fillId="11" borderId="4" xfId="2" applyFont="1" applyFill="1" applyBorder="1" applyAlignment="1">
      <alignment horizontal="center"/>
    </xf>
    <xf numFmtId="1" fontId="17" fillId="11" borderId="4" xfId="0" applyNumberFormat="1" applyFont="1" applyFill="1" applyBorder="1" applyAlignment="1">
      <alignment horizontal="center"/>
    </xf>
    <xf numFmtId="9" fontId="17" fillId="11" borderId="3" xfId="0" applyNumberFormat="1" applyFont="1" applyFill="1" applyBorder="1" applyAlignment="1">
      <alignment horizontal="center"/>
    </xf>
    <xf numFmtId="9" fontId="17" fillId="11" borderId="11" xfId="0" applyNumberFormat="1" applyFont="1" applyFill="1" applyBorder="1" applyAlignment="1">
      <alignment horizontal="center"/>
    </xf>
    <xf numFmtId="169" fontId="7" fillId="0" borderId="0" xfId="0" applyNumberFormat="1" applyFont="1" applyAlignment="1" applyProtection="1">
      <alignment horizontal="center"/>
      <protection locked="0"/>
    </xf>
    <xf numFmtId="1" fontId="7" fillId="3" borderId="5" xfId="2" applyNumberFormat="1" applyFont="1" applyFill="1" applyBorder="1" applyAlignment="1" applyProtection="1">
      <alignment horizontal="center"/>
    </xf>
    <xf numFmtId="2" fontId="7" fillId="0" borderId="4" xfId="0" applyNumberFormat="1" applyFont="1" applyFill="1" applyBorder="1" applyAlignment="1" applyProtection="1">
      <alignment horizontal="center"/>
      <protection locked="0"/>
    </xf>
    <xf numFmtId="164" fontId="7" fillId="0" borderId="5" xfId="2" applyNumberFormat="1" applyFont="1" applyFill="1" applyBorder="1" applyAlignment="1" applyProtection="1">
      <alignment horizontal="center"/>
      <protection locked="0"/>
    </xf>
    <xf numFmtId="164" fontId="7" fillId="0" borderId="4" xfId="2" applyNumberFormat="1" applyFont="1" applyFill="1" applyBorder="1" applyAlignment="1" applyProtection="1">
      <alignment horizontal="center"/>
      <protection locked="0"/>
    </xf>
    <xf numFmtId="1" fontId="7" fillId="0" borderId="4" xfId="2" applyNumberFormat="1" applyFont="1" applyFill="1" applyBorder="1" applyAlignment="1" applyProtection="1">
      <alignment horizontal="center"/>
      <protection locked="0"/>
    </xf>
    <xf numFmtId="1" fontId="7" fillId="0" borderId="3" xfId="2" applyNumberFormat="1" applyFont="1" applyFill="1" applyBorder="1" applyAlignment="1" applyProtection="1">
      <alignment horizontal="center"/>
      <protection locked="0"/>
    </xf>
    <xf numFmtId="164" fontId="7" fillId="2" borderId="4" xfId="2" applyNumberFormat="1" applyFont="1" applyFill="1" applyBorder="1" applyAlignment="1" applyProtection="1">
      <alignment horizontal="center"/>
      <protection locked="0"/>
    </xf>
    <xf numFmtId="1" fontId="7" fillId="0" borderId="5" xfId="2" applyNumberFormat="1" applyFont="1" applyFill="1" applyBorder="1" applyAlignment="1" applyProtection="1">
      <alignment horizontal="center"/>
      <protection locked="0"/>
    </xf>
    <xf numFmtId="0" fontId="18" fillId="11" borderId="4" xfId="0" applyFont="1" applyFill="1" applyBorder="1" applyAlignment="1">
      <alignment horizontal="center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7" fillId="0" borderId="0" xfId="0" applyNumberFormat="1" applyFont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1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27923144712924E-2"/>
          <c:y val="6.358381502890173E-2"/>
          <c:w val="0.56080291435346763"/>
          <c:h val="0.64739975755249624"/>
        </c:manualLayout>
      </c:layout>
      <c:scatterChart>
        <c:scatterStyle val="smoothMarker"/>
        <c:varyColors val="0"/>
        <c:ser>
          <c:idx val="1"/>
          <c:order val="0"/>
          <c:tx>
            <c:v>I Systematic withdrawals (fixed return) with your corpus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Simulator!$AQ$12:$AQ$111</c:f>
              <c:numCache>
                <c:formatCode>0</c:formatCode>
                <c:ptCount val="100"/>
                <c:pt idx="1">
                  <c:v>1</c:v>
                </c:pt>
              </c:numCache>
            </c:numRef>
          </c:xVal>
          <c:yVal>
            <c:numRef>
              <c:f>Simulator!$AU$12:$AU$111</c:f>
              <c:numCache>
                <c:formatCode>General</c:formatCode>
                <c:ptCount val="100"/>
                <c:pt idx="0">
                  <c:v>150</c:v>
                </c:pt>
                <c:pt idx="1">
                  <c:v>149.04000000000002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AD-454A-9D76-6D96190A9FCE}"/>
            </c:ext>
          </c:extLst>
        </c:ser>
        <c:ser>
          <c:idx val="2"/>
          <c:order val="1"/>
          <c:tx>
            <c:v>II Systematic withdrawal (averaged random returns)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Simulator!$AQ$12:$AQ$111</c:f>
              <c:numCache>
                <c:formatCode>0</c:formatCode>
                <c:ptCount val="100"/>
                <c:pt idx="1">
                  <c:v>1</c:v>
                </c:pt>
              </c:numCache>
            </c:numRef>
          </c:xVal>
          <c:yVal>
            <c:numRef>
              <c:f>Simulator!$AT$12:$AT$111</c:f>
              <c:numCache>
                <c:formatCode>0.00</c:formatCode>
                <c:ptCount val="100"/>
                <c:pt idx="0">
                  <c:v>150</c:v>
                </c:pt>
                <c:pt idx="1">
                  <c:v>154.64656407986669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AD-454A-9D76-6D96190A9FCE}"/>
            </c:ext>
          </c:extLst>
        </c:ser>
        <c:ser>
          <c:idx val="0"/>
          <c:order val="2"/>
          <c:tx>
            <c:v>II Bucket Strategy (random returns)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Simulator!$AQ$12:$AQ$111</c:f>
              <c:numCache>
                <c:formatCode>0</c:formatCode>
                <c:ptCount val="100"/>
                <c:pt idx="1">
                  <c:v>1</c:v>
                </c:pt>
              </c:numCache>
            </c:numRef>
          </c:xVal>
          <c:yVal>
            <c:numRef>
              <c:f>Simulator!$AR$12:$AR$111</c:f>
              <c:numCache>
                <c:formatCode>0.00</c:formatCode>
                <c:ptCount val="100"/>
                <c:pt idx="0">
                  <c:v>150</c:v>
                </c:pt>
                <c:pt idx="1">
                  <c:v>154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  <c:pt idx="25" formatCode="General">
                  <c:v>#N/A</c:v>
                </c:pt>
                <c:pt idx="26" formatCode="General">
                  <c:v>#N/A</c:v>
                </c:pt>
                <c:pt idx="27" formatCode="General">
                  <c:v>#N/A</c:v>
                </c:pt>
                <c:pt idx="28" formatCode="General">
                  <c:v>#N/A</c:v>
                </c:pt>
                <c:pt idx="29" formatCode="General">
                  <c:v>#N/A</c:v>
                </c:pt>
                <c:pt idx="30" formatCode="General">
                  <c:v>#N/A</c:v>
                </c:pt>
                <c:pt idx="31" formatCode="General">
                  <c:v>#N/A</c:v>
                </c:pt>
                <c:pt idx="32" formatCode="General">
                  <c:v>#N/A</c:v>
                </c:pt>
                <c:pt idx="33" formatCode="General">
                  <c:v>#N/A</c:v>
                </c:pt>
                <c:pt idx="34" formatCode="General">
                  <c:v>#N/A</c:v>
                </c:pt>
                <c:pt idx="35" formatCode="General">
                  <c:v>#N/A</c:v>
                </c:pt>
                <c:pt idx="36" formatCode="General">
                  <c:v>#N/A</c:v>
                </c:pt>
                <c:pt idx="37" formatCode="General">
                  <c:v>#N/A</c:v>
                </c:pt>
                <c:pt idx="38" formatCode="General">
                  <c:v>#N/A</c:v>
                </c:pt>
                <c:pt idx="39" formatCode="General">
                  <c:v>#N/A</c:v>
                </c:pt>
                <c:pt idx="40" formatCode="General">
                  <c:v>#N/A</c:v>
                </c:pt>
                <c:pt idx="41" formatCode="General">
                  <c:v>#N/A</c:v>
                </c:pt>
                <c:pt idx="42" formatCode="General">
                  <c:v>#N/A</c:v>
                </c:pt>
                <c:pt idx="43" formatCode="General">
                  <c:v>#N/A</c:v>
                </c:pt>
                <c:pt idx="44" formatCode="General">
                  <c:v>#N/A</c:v>
                </c:pt>
                <c:pt idx="45" formatCode="General">
                  <c:v>#N/A</c:v>
                </c:pt>
                <c:pt idx="46" formatCode="General">
                  <c:v>#N/A</c:v>
                </c:pt>
                <c:pt idx="47" formatCode="General">
                  <c:v>#N/A</c:v>
                </c:pt>
                <c:pt idx="48" formatCode="General">
                  <c:v>#N/A</c:v>
                </c:pt>
                <c:pt idx="49" formatCode="General">
                  <c:v>#N/A</c:v>
                </c:pt>
                <c:pt idx="50" formatCode="General">
                  <c:v>#N/A</c:v>
                </c:pt>
                <c:pt idx="51" formatCode="General">
                  <c:v>#N/A</c:v>
                </c:pt>
                <c:pt idx="52" formatCode="General">
                  <c:v>#N/A</c:v>
                </c:pt>
                <c:pt idx="53" formatCode="General">
                  <c:v>#N/A</c:v>
                </c:pt>
                <c:pt idx="54" formatCode="General">
                  <c:v>#N/A</c:v>
                </c:pt>
                <c:pt idx="55" formatCode="General">
                  <c:v>#N/A</c:v>
                </c:pt>
                <c:pt idx="56" formatCode="General">
                  <c:v>#N/A</c:v>
                </c:pt>
                <c:pt idx="57" formatCode="General">
                  <c:v>#N/A</c:v>
                </c:pt>
                <c:pt idx="58" formatCode="General">
                  <c:v>#N/A</c:v>
                </c:pt>
                <c:pt idx="59" formatCode="General">
                  <c:v>#N/A</c:v>
                </c:pt>
                <c:pt idx="60" formatCode="General">
                  <c:v>#N/A</c:v>
                </c:pt>
                <c:pt idx="61" formatCode="General">
                  <c:v>#N/A</c:v>
                </c:pt>
                <c:pt idx="62" formatCode="General">
                  <c:v>#N/A</c:v>
                </c:pt>
                <c:pt idx="63" formatCode="General">
                  <c:v>#N/A</c:v>
                </c:pt>
                <c:pt idx="64" formatCode="General">
                  <c:v>#N/A</c:v>
                </c:pt>
                <c:pt idx="65" formatCode="General">
                  <c:v>#N/A</c:v>
                </c:pt>
                <c:pt idx="66" formatCode="General">
                  <c:v>#N/A</c:v>
                </c:pt>
                <c:pt idx="67" formatCode="General">
                  <c:v>#N/A</c:v>
                </c:pt>
                <c:pt idx="68" formatCode="General">
                  <c:v>#N/A</c:v>
                </c:pt>
                <c:pt idx="69" formatCode="General">
                  <c:v>#N/A</c:v>
                </c:pt>
                <c:pt idx="70" formatCode="General">
                  <c:v>#N/A</c:v>
                </c:pt>
                <c:pt idx="71" formatCode="General">
                  <c:v>#N/A</c:v>
                </c:pt>
                <c:pt idx="72" formatCode="General">
                  <c:v>#N/A</c:v>
                </c:pt>
                <c:pt idx="73" formatCode="General">
                  <c:v>#N/A</c:v>
                </c:pt>
                <c:pt idx="74" formatCode="General">
                  <c:v>#N/A</c:v>
                </c:pt>
                <c:pt idx="75" formatCode="General">
                  <c:v>#N/A</c:v>
                </c:pt>
                <c:pt idx="76" formatCode="General">
                  <c:v>#N/A</c:v>
                </c:pt>
                <c:pt idx="77" formatCode="General">
                  <c:v>#N/A</c:v>
                </c:pt>
                <c:pt idx="78" formatCode="General">
                  <c:v>#N/A</c:v>
                </c:pt>
                <c:pt idx="79" formatCode="General">
                  <c:v>#N/A</c:v>
                </c:pt>
                <c:pt idx="80" formatCode="General">
                  <c:v>#N/A</c:v>
                </c:pt>
                <c:pt idx="81" formatCode="General">
                  <c:v>#N/A</c:v>
                </c:pt>
                <c:pt idx="82" formatCode="General">
                  <c:v>#N/A</c:v>
                </c:pt>
                <c:pt idx="83" formatCode="General">
                  <c:v>#N/A</c:v>
                </c:pt>
                <c:pt idx="84" formatCode="General">
                  <c:v>#N/A</c:v>
                </c:pt>
                <c:pt idx="85" formatCode="General">
                  <c:v>#N/A</c:v>
                </c:pt>
                <c:pt idx="86" formatCode="General">
                  <c:v>#N/A</c:v>
                </c:pt>
                <c:pt idx="87" formatCode="General">
                  <c:v>#N/A</c:v>
                </c:pt>
                <c:pt idx="88" formatCode="General">
                  <c:v>#N/A</c:v>
                </c:pt>
                <c:pt idx="89" formatCode="General">
                  <c:v>#N/A</c:v>
                </c:pt>
                <c:pt idx="90" formatCode="General">
                  <c:v>#N/A</c:v>
                </c:pt>
                <c:pt idx="91" formatCode="General">
                  <c:v>#N/A</c:v>
                </c:pt>
                <c:pt idx="92" formatCode="General">
                  <c:v>#N/A</c:v>
                </c:pt>
                <c:pt idx="93" formatCode="General">
                  <c:v>#N/A</c:v>
                </c:pt>
                <c:pt idx="94" formatCode="General">
                  <c:v>#N/A</c:v>
                </c:pt>
                <c:pt idx="95" formatCode="General">
                  <c:v>#N/A</c:v>
                </c:pt>
                <c:pt idx="96" formatCode="General">
                  <c:v>#N/A</c:v>
                </c:pt>
                <c:pt idx="97" formatCode="General">
                  <c:v>#N/A</c:v>
                </c:pt>
                <c:pt idx="98" formatCode="General">
                  <c:v>#N/A</c:v>
                </c:pt>
                <c:pt idx="99" formatCode="General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AD-454A-9D76-6D96190A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32832"/>
        <c:axId val="36655872"/>
      </c:scatterChart>
      <c:valAx>
        <c:axId val="36632832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IN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Years</a:t>
                </a:r>
              </a:p>
            </c:rich>
          </c:tx>
          <c:layout>
            <c:manualLayout>
              <c:xMode val="edge"/>
              <c:yMode val="edge"/>
              <c:x val="0.39602003107820577"/>
              <c:y val="0.865298601373459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IN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55872"/>
        <c:crosses val="autoZero"/>
        <c:crossBetween val="midCat"/>
        <c:majorUnit val="2"/>
        <c:minorUnit val="0.5"/>
      </c:valAx>
      <c:valAx>
        <c:axId val="366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IN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Corpus</a:t>
                </a:r>
              </a:p>
            </c:rich>
          </c:tx>
          <c:layout>
            <c:manualLayout>
              <c:xMode val="edge"/>
              <c:yMode val="edge"/>
              <c:x val="1.7910447761194031E-2"/>
              <c:y val="0.331050827550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IN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2832"/>
        <c:crosses val="autoZero"/>
        <c:crossBetween val="midCat"/>
      </c:valAx>
      <c:spPr>
        <a:solidFill>
          <a:srgbClr val="C0C0C0"/>
        </a:solidFill>
        <a:ln w="381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96034303127394"/>
          <c:y val="5.4913372292399031E-2"/>
          <c:w val="0.32441412490072863"/>
          <c:h val="0.70231289730402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IN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518160</xdr:colOff>
      <xdr:row>2</xdr:row>
      <xdr:rowOff>121920</xdr:rowOff>
    </xdr:from>
    <xdr:to>
      <xdr:col>28</xdr:col>
      <xdr:colOff>563880</xdr:colOff>
      <xdr:row>29</xdr:row>
      <xdr:rowOff>38100</xdr:rowOff>
    </xdr:to>
    <xdr:pic>
      <xdr:nvPicPr>
        <xdr:cNvPr id="24578" name="Pictur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9340" y="563880"/>
          <a:ext cx="11628120" cy="58826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190500</xdr:colOff>
      <xdr:row>0</xdr:row>
      <xdr:rowOff>114300</xdr:rowOff>
    </xdr:from>
    <xdr:to>
      <xdr:col>11</xdr:col>
      <xdr:colOff>464820</xdr:colOff>
      <xdr:row>3</xdr:row>
      <xdr:rowOff>121920</xdr:rowOff>
    </xdr:to>
    <xdr:sp macro="" textlink="">
      <xdr:nvSpPr>
        <xdr:cNvPr id="24580" name="Line 4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>
          <a:spLocks noChangeShapeType="1"/>
        </xdr:cNvSpPr>
      </xdr:nvSpPr>
      <xdr:spPr bwMode="auto">
        <a:xfrm>
          <a:off x="3848100" y="114300"/>
          <a:ext cx="3467100" cy="67056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8</xdr:col>
      <xdr:colOff>266700</xdr:colOff>
      <xdr:row>4</xdr:row>
      <xdr:rowOff>83820</xdr:rowOff>
    </xdr:from>
    <xdr:to>
      <xdr:col>12</xdr:col>
      <xdr:colOff>22860</xdr:colOff>
      <xdr:row>4</xdr:row>
      <xdr:rowOff>190500</xdr:rowOff>
    </xdr:to>
    <xdr:sp macro="" textlink="">
      <xdr:nvSpPr>
        <xdr:cNvPr id="24581" name="Line 5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>
          <a:spLocks noChangeShapeType="1"/>
        </xdr:cNvSpPr>
      </xdr:nvSpPr>
      <xdr:spPr bwMode="auto">
        <a:xfrm>
          <a:off x="5143500" y="967740"/>
          <a:ext cx="2339340" cy="10668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8</xdr:col>
      <xdr:colOff>251460</xdr:colOff>
      <xdr:row>5</xdr:row>
      <xdr:rowOff>83820</xdr:rowOff>
    </xdr:from>
    <xdr:to>
      <xdr:col>16</xdr:col>
      <xdr:colOff>327660</xdr:colOff>
      <xdr:row>6</xdr:row>
      <xdr:rowOff>53340</xdr:rowOff>
    </xdr:to>
    <xdr:sp macro="" textlink="">
      <xdr:nvSpPr>
        <xdr:cNvPr id="24582" name="Line 6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>
          <a:spLocks noChangeShapeType="1"/>
        </xdr:cNvSpPr>
      </xdr:nvSpPr>
      <xdr:spPr bwMode="auto">
        <a:xfrm>
          <a:off x="5128260" y="1188720"/>
          <a:ext cx="5097780" cy="1905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16</xdr:col>
      <xdr:colOff>38100</xdr:colOff>
      <xdr:row>1</xdr:row>
      <xdr:rowOff>114300</xdr:rowOff>
    </xdr:from>
    <xdr:to>
      <xdr:col>17</xdr:col>
      <xdr:colOff>266700</xdr:colOff>
      <xdr:row>3</xdr:row>
      <xdr:rowOff>160020</xdr:rowOff>
    </xdr:to>
    <xdr:sp macro="" textlink="">
      <xdr:nvSpPr>
        <xdr:cNvPr id="24583" name="Line 7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>
          <a:spLocks noChangeShapeType="1"/>
        </xdr:cNvSpPr>
      </xdr:nvSpPr>
      <xdr:spPr bwMode="auto">
        <a:xfrm>
          <a:off x="9936480" y="335280"/>
          <a:ext cx="838200" cy="48768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21</xdr:col>
      <xdr:colOff>236220</xdr:colOff>
      <xdr:row>2</xdr:row>
      <xdr:rowOff>30480</xdr:rowOff>
    </xdr:from>
    <xdr:to>
      <xdr:col>22</xdr:col>
      <xdr:colOff>396240</xdr:colOff>
      <xdr:row>3</xdr:row>
      <xdr:rowOff>167640</xdr:rowOff>
    </xdr:to>
    <xdr:sp macro="" textlink="">
      <xdr:nvSpPr>
        <xdr:cNvPr id="24584" name="Line 8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>
          <a:spLocks noChangeShapeType="1"/>
        </xdr:cNvSpPr>
      </xdr:nvSpPr>
      <xdr:spPr bwMode="auto">
        <a:xfrm>
          <a:off x="13182600" y="472440"/>
          <a:ext cx="769620" cy="35814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8</xdr:col>
      <xdr:colOff>624840</xdr:colOff>
      <xdr:row>13</xdr:row>
      <xdr:rowOff>83820</xdr:rowOff>
    </xdr:from>
    <xdr:to>
      <xdr:col>10</xdr:col>
      <xdr:colOff>190500</xdr:colOff>
      <xdr:row>19</xdr:row>
      <xdr:rowOff>83820</xdr:rowOff>
    </xdr:to>
    <xdr:sp macro="" textlink="">
      <xdr:nvSpPr>
        <xdr:cNvPr id="24586" name="Line 10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>
          <a:spLocks noChangeShapeType="1"/>
        </xdr:cNvSpPr>
      </xdr:nvSpPr>
      <xdr:spPr bwMode="auto">
        <a:xfrm flipV="1">
          <a:off x="5501640" y="2956560"/>
          <a:ext cx="929640" cy="132588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 editAs="oneCell">
    <xdr:from>
      <xdr:col>20</xdr:col>
      <xdr:colOff>99060</xdr:colOff>
      <xdr:row>4</xdr:row>
      <xdr:rowOff>205740</xdr:rowOff>
    </xdr:from>
    <xdr:to>
      <xdr:col>21</xdr:col>
      <xdr:colOff>281940</xdr:colOff>
      <xdr:row>5</xdr:row>
      <xdr:rowOff>114300</xdr:rowOff>
    </xdr:to>
    <xdr:pic>
      <xdr:nvPicPr>
        <xdr:cNvPr id="24589" name="Picture 13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5840" y="1089660"/>
          <a:ext cx="792480" cy="12954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388620</xdr:colOff>
      <xdr:row>21</xdr:row>
      <xdr:rowOff>160020</xdr:rowOff>
    </xdr:from>
    <xdr:to>
      <xdr:col>10</xdr:col>
      <xdr:colOff>419100</xdr:colOff>
      <xdr:row>24</xdr:row>
      <xdr:rowOff>53340</xdr:rowOff>
    </xdr:to>
    <xdr:sp macro="" textlink="">
      <xdr:nvSpPr>
        <xdr:cNvPr id="24590" name="Line 14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>
          <a:spLocks noChangeShapeType="1"/>
        </xdr:cNvSpPr>
      </xdr:nvSpPr>
      <xdr:spPr bwMode="auto">
        <a:xfrm flipV="1">
          <a:off x="5265420" y="4800600"/>
          <a:ext cx="1394460" cy="55626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 editAs="oneCell">
    <xdr:from>
      <xdr:col>18</xdr:col>
      <xdr:colOff>342900</xdr:colOff>
      <xdr:row>24</xdr:row>
      <xdr:rowOff>30480</xdr:rowOff>
    </xdr:from>
    <xdr:to>
      <xdr:col>28</xdr:col>
      <xdr:colOff>327660</xdr:colOff>
      <xdr:row>30</xdr:row>
      <xdr:rowOff>160020</xdr:rowOff>
    </xdr:to>
    <xdr:pic>
      <xdr:nvPicPr>
        <xdr:cNvPr id="24593" name="Picture 17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460480" y="5334000"/>
          <a:ext cx="6080760" cy="1455420"/>
        </a:xfrm>
        <a:prstGeom prst="rect">
          <a:avLst/>
        </a:prstGeom>
        <a:noFill/>
      </xdr:spPr>
    </xdr:pic>
    <xdr:clientData/>
  </xdr:twoCellAnchor>
  <xdr:twoCellAnchor>
    <xdr:from>
      <xdr:col>27</xdr:col>
      <xdr:colOff>464820</xdr:colOff>
      <xdr:row>10</xdr:row>
      <xdr:rowOff>15240</xdr:rowOff>
    </xdr:from>
    <xdr:to>
      <xdr:col>28</xdr:col>
      <xdr:colOff>45720</xdr:colOff>
      <xdr:row>24</xdr:row>
      <xdr:rowOff>91440</xdr:rowOff>
    </xdr:to>
    <xdr:sp macro="" textlink="">
      <xdr:nvSpPr>
        <xdr:cNvPr id="24595" name="Line 19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>
          <a:spLocks noChangeShapeType="1"/>
        </xdr:cNvSpPr>
      </xdr:nvSpPr>
      <xdr:spPr bwMode="auto">
        <a:xfrm flipH="1" flipV="1">
          <a:off x="17068800" y="2225040"/>
          <a:ext cx="190500" cy="316992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 editAs="oneCell">
    <xdr:from>
      <xdr:col>20</xdr:col>
      <xdr:colOff>259080</xdr:colOff>
      <xdr:row>17</xdr:row>
      <xdr:rowOff>190500</xdr:rowOff>
    </xdr:from>
    <xdr:to>
      <xdr:col>27</xdr:col>
      <xdr:colOff>495300</xdr:colOff>
      <xdr:row>23</xdr:row>
      <xdr:rowOff>114300</xdr:rowOff>
    </xdr:to>
    <xdr:pic>
      <xdr:nvPicPr>
        <xdr:cNvPr id="24598" name="Picture 22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r="7076"/>
        <a:stretch>
          <a:fillRect/>
        </a:stretch>
      </xdr:blipFill>
      <xdr:spPr bwMode="auto">
        <a:xfrm>
          <a:off x="12595860" y="3947160"/>
          <a:ext cx="4503420" cy="1249680"/>
        </a:xfrm>
        <a:prstGeom prst="rect">
          <a:avLst/>
        </a:prstGeom>
        <a:noFill/>
      </xdr:spPr>
    </xdr:pic>
    <xdr:clientData/>
  </xdr:twoCellAnchor>
  <xdr:twoCellAnchor>
    <xdr:from>
      <xdr:col>20</xdr:col>
      <xdr:colOff>0</xdr:colOff>
      <xdr:row>5</xdr:row>
      <xdr:rowOff>99060</xdr:rowOff>
    </xdr:from>
    <xdr:to>
      <xdr:col>21</xdr:col>
      <xdr:colOff>259080</xdr:colOff>
      <xdr:row>18</xdr:row>
      <xdr:rowOff>213360</xdr:rowOff>
    </xdr:to>
    <xdr:sp macro="" textlink="">
      <xdr:nvSpPr>
        <xdr:cNvPr id="24599" name="Line 23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>
          <a:spLocks noChangeShapeType="1"/>
        </xdr:cNvSpPr>
      </xdr:nvSpPr>
      <xdr:spPr bwMode="auto">
        <a:xfrm flipH="1" flipV="1">
          <a:off x="12336780" y="1203960"/>
          <a:ext cx="868680" cy="298704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0</xdr:col>
      <xdr:colOff>396240</xdr:colOff>
      <xdr:row>10</xdr:row>
      <xdr:rowOff>160020</xdr:rowOff>
    </xdr:from>
    <xdr:to>
      <xdr:col>8</xdr:col>
      <xdr:colOff>373380</xdr:colOff>
      <xdr:row>17</xdr:row>
      <xdr:rowOff>0</xdr:rowOff>
    </xdr:to>
    <xdr:sp macro="" textlink="">
      <xdr:nvSpPr>
        <xdr:cNvPr id="24600" name="Text Box 24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>
          <a:spLocks noChangeArrowheads="1"/>
        </xdr:cNvSpPr>
      </xdr:nvSpPr>
      <xdr:spPr bwMode="auto">
        <a:xfrm>
          <a:off x="396240" y="2369820"/>
          <a:ext cx="485394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4864" rIns="64008" bIns="0" anchor="t" upright="1"/>
        <a:lstStyle/>
        <a:p>
          <a:pPr algn="ctr" rtl="1">
            <a:defRPr sz="1000"/>
          </a:pPr>
          <a:r>
            <a:rPr lang="en-IN" sz="2600" b="0" i="0" strike="noStrike">
              <a:solidFill>
                <a:srgbClr val="000000"/>
              </a:solidFill>
              <a:latin typeface="Arial"/>
              <a:cs typeface="Arial"/>
            </a:rPr>
            <a:t>Follow the numbers in the boxes for a brief description of the cell entries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446314</xdr:colOff>
      <xdr:row>111</xdr:row>
      <xdr:rowOff>138249</xdr:rowOff>
    </xdr:from>
    <xdr:to>
      <xdr:col>26</xdr:col>
      <xdr:colOff>347254</xdr:colOff>
      <xdr:row>124</xdr:row>
      <xdr:rowOff>16329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7489371" y="2794363"/>
          <a:ext cx="5430883" cy="1859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IN" sz="1200" b="1" i="0" strike="noStrike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1">
            <a:defRPr sz="1000"/>
          </a:pPr>
          <a:r>
            <a:rPr lang="en-IN" sz="1200" b="1" i="0" strike="noStrike">
              <a:solidFill>
                <a:srgbClr val="000000"/>
              </a:solidFill>
              <a:latin typeface="Arial"/>
              <a:cs typeface="Arial"/>
            </a:rPr>
            <a:t>1. Only the last 5 years will be displayed in the table to accommodate the graph in the same frame</a:t>
          </a:r>
        </a:p>
        <a:p>
          <a:pPr algn="l" rtl="1">
            <a:defRPr sz="1000"/>
          </a:pPr>
          <a:r>
            <a:rPr lang="en-IN" sz="1200" b="1" i="0" strike="noStrike">
              <a:solidFill>
                <a:srgbClr val="000000"/>
              </a:solidFill>
              <a:latin typeface="Arial"/>
              <a:cs typeface="Arial"/>
            </a:rPr>
            <a:t>2. Strategies II and III in the plot use the same 'random' returns.</a:t>
          </a:r>
        </a:p>
        <a:p>
          <a:pPr algn="l" rtl="1">
            <a:defRPr sz="1000"/>
          </a:pPr>
          <a:r>
            <a:rPr lang="en-IN" sz="1200" b="1" i="0" strike="noStrike">
              <a:solidFill>
                <a:srgbClr val="000000"/>
              </a:solidFill>
              <a:latin typeface="Arial"/>
              <a:cs typeface="Arial"/>
            </a:rPr>
            <a:t>3. You can increase the X-axis upper limit from 30 if your corpus is not exhausted 30 years after retirement!</a:t>
          </a:r>
        </a:p>
      </xdr:txBody>
    </xdr:sp>
    <xdr:clientData/>
  </xdr:twoCellAnchor>
  <xdr:twoCellAnchor editAs="absolute">
    <xdr:from>
      <xdr:col>0</xdr:col>
      <xdr:colOff>37010</xdr:colOff>
      <xdr:row>115</xdr:row>
      <xdr:rowOff>87084</xdr:rowOff>
    </xdr:from>
    <xdr:to>
      <xdr:col>15</xdr:col>
      <xdr:colOff>587829</xdr:colOff>
      <xdr:row>129</xdr:row>
      <xdr:rowOff>121917</xdr:rowOff>
    </xdr:to>
    <xdr:graphicFrame macro="">
      <xdr:nvGraphicFramePr>
        <xdr:cNvPr id="1172" name="Chart 14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32657</xdr:colOff>
      <xdr:row>0</xdr:row>
      <xdr:rowOff>43553</xdr:rowOff>
    </xdr:from>
    <xdr:to>
      <xdr:col>18</xdr:col>
      <xdr:colOff>21772</xdr:colOff>
      <xdr:row>1</xdr:row>
      <xdr:rowOff>130629</xdr:rowOff>
    </xdr:to>
    <xdr:sp macro="[0]!Sheet2.CommandButton2_Click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584371" y="43553"/>
          <a:ext cx="2231572" cy="239476"/>
        </a:xfrm>
        <a:prstGeom prst="roundRect">
          <a:avLst/>
        </a:prstGeom>
        <a:solidFill>
          <a:srgbClr val="FFFF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200" b="1">
              <a:solidFill>
                <a:sysClr val="windowText" lastClr="000000"/>
              </a:solidFill>
            </a:rPr>
            <a:t>Move to next year</a:t>
          </a:r>
        </a:p>
      </xdr:txBody>
    </xdr:sp>
    <xdr:clientData/>
  </xdr:twoCellAnchor>
  <xdr:twoCellAnchor>
    <xdr:from>
      <xdr:col>4</xdr:col>
      <xdr:colOff>152400</xdr:colOff>
      <xdr:row>0</xdr:row>
      <xdr:rowOff>21773</xdr:rowOff>
    </xdr:from>
    <xdr:to>
      <xdr:col>12</xdr:col>
      <xdr:colOff>566058</xdr:colOff>
      <xdr:row>1</xdr:row>
      <xdr:rowOff>108859</xdr:rowOff>
    </xdr:to>
    <xdr:sp macro="[0]!Sheet2.CommandButton1_Click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87286" y="21773"/>
          <a:ext cx="3058886" cy="239486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400" b="1">
              <a:solidFill>
                <a:sysClr val="windowText" lastClr="000000"/>
              </a:solidFill>
            </a:rPr>
            <a:t>Start</a:t>
          </a:r>
          <a:r>
            <a:rPr lang="en-IN" sz="1400" b="1" baseline="0">
              <a:solidFill>
                <a:sysClr val="windowText" lastClr="000000"/>
              </a:solidFill>
            </a:rPr>
            <a:t> again with new set of returns</a:t>
          </a:r>
          <a:endParaRPr lang="en-IN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152400</xdr:colOff>
      <xdr:row>0</xdr:row>
      <xdr:rowOff>32657</xdr:rowOff>
    </xdr:from>
    <xdr:to>
      <xdr:col>26</xdr:col>
      <xdr:colOff>185057</xdr:colOff>
      <xdr:row>2</xdr:row>
      <xdr:rowOff>87075</xdr:rowOff>
    </xdr:to>
    <xdr:sp macro="[0]!Sheet2.CommandButton3_Click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622971" y="32657"/>
          <a:ext cx="3135086" cy="359218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400"/>
            <a:t>Start again with same set of returns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4</xdr:row>
          <xdr:rowOff>0</xdr:rowOff>
        </xdr:from>
        <xdr:to>
          <xdr:col>73</xdr:col>
          <xdr:colOff>22860</xdr:colOff>
          <xdr:row>5</xdr:row>
          <xdr:rowOff>106680</xdr:rowOff>
        </xdr:to>
        <xdr:sp macro="" textlink="">
          <xdr:nvSpPr>
            <xdr:cNvPr id="1142" name="CommandButton2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60960</xdr:rowOff>
    </xdr:from>
    <xdr:to>
      <xdr:col>9</xdr:col>
      <xdr:colOff>426720</xdr:colOff>
      <xdr:row>6</xdr:row>
      <xdr:rowOff>160020</xdr:rowOff>
    </xdr:to>
    <xdr:pic>
      <xdr:nvPicPr>
        <xdr:cNvPr id="5154" name="Picture 34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738"/>
        <a:stretch>
          <a:fillRect/>
        </a:stretch>
      </xdr:blipFill>
      <xdr:spPr bwMode="auto">
        <a:xfrm>
          <a:off x="7620" y="60960"/>
          <a:ext cx="5905500" cy="124206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525780</xdr:colOff>
      <xdr:row>0</xdr:row>
      <xdr:rowOff>99060</xdr:rowOff>
    </xdr:from>
    <xdr:to>
      <xdr:col>21</xdr:col>
      <xdr:colOff>495300</xdr:colOff>
      <xdr:row>16</xdr:row>
      <xdr:rowOff>91440</xdr:rowOff>
    </xdr:to>
    <xdr:pic>
      <xdr:nvPicPr>
        <xdr:cNvPr id="5157" name="Picture 37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12180" y="99060"/>
          <a:ext cx="7284720" cy="281178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68580</xdr:colOff>
      <xdr:row>38</xdr:row>
      <xdr:rowOff>91440</xdr:rowOff>
    </xdr:from>
    <xdr:to>
      <xdr:col>22</xdr:col>
      <xdr:colOff>38100</xdr:colOff>
      <xdr:row>56</xdr:row>
      <xdr:rowOff>7620</xdr:rowOff>
    </xdr:to>
    <xdr:pic>
      <xdr:nvPicPr>
        <xdr:cNvPr id="5159" name="Picture 39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4580" y="6667500"/>
          <a:ext cx="7284720" cy="2933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563880</xdr:colOff>
      <xdr:row>41</xdr:row>
      <xdr:rowOff>152400</xdr:rowOff>
    </xdr:from>
    <xdr:to>
      <xdr:col>8</xdr:col>
      <xdr:colOff>426720</xdr:colOff>
      <xdr:row>47</xdr:row>
      <xdr:rowOff>121920</xdr:rowOff>
    </xdr:to>
    <xdr:pic>
      <xdr:nvPicPr>
        <xdr:cNvPr id="5160" name="Picture 40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3880" y="7231380"/>
          <a:ext cx="4739640" cy="97536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60960</xdr:colOff>
      <xdr:row>0</xdr:row>
      <xdr:rowOff>106680</xdr:rowOff>
    </xdr:from>
    <xdr:to>
      <xdr:col>30</xdr:col>
      <xdr:colOff>297180</xdr:colOff>
      <xdr:row>17</xdr:row>
      <xdr:rowOff>0</xdr:rowOff>
    </xdr:to>
    <xdr:pic>
      <xdr:nvPicPr>
        <xdr:cNvPr id="5163" name="Picture 43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472160" y="106680"/>
          <a:ext cx="5113020" cy="288036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182880</xdr:colOff>
      <xdr:row>16</xdr:row>
      <xdr:rowOff>160020</xdr:rowOff>
    </xdr:from>
    <xdr:to>
      <xdr:col>19</xdr:col>
      <xdr:colOff>502920</xdr:colOff>
      <xdr:row>36</xdr:row>
      <xdr:rowOff>68580</xdr:rowOff>
    </xdr:to>
    <xdr:pic>
      <xdr:nvPicPr>
        <xdr:cNvPr id="5165" name="Picture 45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278880" y="2979420"/>
          <a:ext cx="5806440" cy="3329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gplanning.com/investment_income_calculato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1"/>
  <sheetViews>
    <sheetView tabSelected="1" zoomScale="55" workbookViewId="0">
      <selection activeCell="O21" sqref="O21"/>
    </sheetView>
  </sheetViews>
  <sheetFormatPr defaultColWidth="8.88671875" defaultRowHeight="15" x14ac:dyDescent="0.25"/>
  <cols>
    <col min="1" max="1" width="52.33203125" style="151" customWidth="1"/>
    <col min="2" max="2" width="25.6640625" style="156" customWidth="1"/>
    <col min="3" max="3" width="1.88671875" style="151" bestFit="1" customWidth="1"/>
    <col min="4" max="4" width="11.109375" style="151" customWidth="1"/>
    <col min="5" max="5" width="30.6640625" style="151" bestFit="1" customWidth="1"/>
    <col min="6" max="6" width="12.6640625" style="151" bestFit="1" customWidth="1"/>
    <col min="7" max="7" width="20.109375" style="151" bestFit="1" customWidth="1"/>
    <col min="8" max="8" width="59" style="151" bestFit="1" customWidth="1"/>
    <col min="9" max="9" width="9.109375" style="151" customWidth="1"/>
    <col min="10" max="10" width="8.88671875" style="151"/>
    <col min="11" max="11" width="15.109375" style="151" customWidth="1"/>
    <col min="12" max="12" width="1" style="151" customWidth="1"/>
    <col min="13" max="16" width="8.88671875" style="151"/>
    <col min="17" max="17" width="1" style="151" customWidth="1"/>
    <col min="18" max="18" width="9.109375" customWidth="1"/>
    <col min="19" max="16384" width="8.88671875" style="151"/>
  </cols>
  <sheetData>
    <row r="1" spans="1:18" ht="15.6" x14ac:dyDescent="0.3">
      <c r="A1" s="148" t="s">
        <v>118</v>
      </c>
      <c r="B1" s="149"/>
      <c r="C1" s="150"/>
      <c r="D1" s="150"/>
      <c r="E1" s="150"/>
      <c r="F1" s="150"/>
      <c r="G1" s="150"/>
      <c r="H1" s="150"/>
      <c r="L1" s="152"/>
      <c r="M1" s="190"/>
      <c r="N1" s="190"/>
      <c r="O1" s="190"/>
      <c r="P1" s="190"/>
      <c r="Q1" s="164"/>
      <c r="R1" s="151"/>
    </row>
    <row r="2" spans="1:18" ht="4.95" customHeight="1" x14ac:dyDescent="0.3">
      <c r="A2" s="153"/>
      <c r="B2" s="154"/>
      <c r="C2" s="152"/>
      <c r="D2" s="152"/>
      <c r="E2" s="152"/>
      <c r="F2" s="152"/>
      <c r="G2" s="152"/>
      <c r="H2" s="152"/>
      <c r="L2" s="152"/>
      <c r="M2" s="190"/>
      <c r="N2" s="190"/>
      <c r="O2" s="190"/>
      <c r="P2" s="190"/>
      <c r="Q2" s="164"/>
      <c r="R2" s="151"/>
    </row>
    <row r="3" spans="1:18" ht="15.6" x14ac:dyDescent="0.3">
      <c r="A3" s="155" t="s">
        <v>59</v>
      </c>
      <c r="C3" s="152"/>
      <c r="L3" s="152"/>
      <c r="M3" s="190"/>
      <c r="N3" s="190"/>
      <c r="O3" s="190"/>
      <c r="P3" s="190"/>
      <c r="Q3" s="164"/>
      <c r="R3" s="151"/>
    </row>
    <row r="4" spans="1:18" ht="15.6" x14ac:dyDescent="0.3">
      <c r="A4" s="157" t="s">
        <v>40</v>
      </c>
      <c r="B4" s="158"/>
      <c r="C4" s="154"/>
      <c r="D4" s="159" t="s">
        <v>46</v>
      </c>
      <c r="E4" s="159"/>
      <c r="F4" s="159"/>
      <c r="G4" s="159"/>
      <c r="H4" s="159"/>
      <c r="L4" s="152"/>
      <c r="M4" s="190"/>
      <c r="N4" s="190"/>
      <c r="O4" s="190"/>
      <c r="P4" s="190"/>
      <c r="Q4" s="164"/>
      <c r="R4" s="151"/>
    </row>
    <row r="5" spans="1:18" x14ac:dyDescent="0.25">
      <c r="A5" s="158" t="s">
        <v>14</v>
      </c>
      <c r="B5" s="223">
        <v>100000</v>
      </c>
      <c r="C5" s="154" t="s">
        <v>13</v>
      </c>
      <c r="D5" s="160" t="s">
        <v>47</v>
      </c>
      <c r="E5" s="160"/>
      <c r="F5" s="160"/>
      <c r="G5" s="160"/>
      <c r="H5" s="160"/>
      <c r="L5" s="152"/>
      <c r="M5" s="190"/>
      <c r="N5" s="190"/>
      <c r="O5" s="190"/>
      <c r="P5" s="190"/>
      <c r="Q5" s="164"/>
      <c r="R5" s="151"/>
    </row>
    <row r="6" spans="1:18" x14ac:dyDescent="0.25">
      <c r="A6" s="158" t="s">
        <v>15</v>
      </c>
      <c r="B6" s="223">
        <v>0</v>
      </c>
      <c r="C6" s="154"/>
      <c r="D6" s="151" t="s">
        <v>48</v>
      </c>
      <c r="L6" s="152"/>
      <c r="M6" s="190"/>
      <c r="N6" s="190"/>
      <c r="O6" s="190"/>
      <c r="P6" s="190"/>
      <c r="Q6" s="164"/>
      <c r="R6" s="151"/>
    </row>
    <row r="7" spans="1:18" x14ac:dyDescent="0.25">
      <c r="A7" s="158" t="s">
        <v>16</v>
      </c>
      <c r="B7" s="224">
        <v>0.08</v>
      </c>
      <c r="C7" s="154"/>
      <c r="D7" s="162" t="s">
        <v>62</v>
      </c>
      <c r="E7" s="163"/>
      <c r="F7" s="163"/>
      <c r="G7" s="164"/>
      <c r="H7" s="164"/>
      <c r="L7" s="152"/>
      <c r="M7" s="190"/>
      <c r="N7" s="190"/>
      <c r="O7" s="190"/>
      <c r="P7" s="190"/>
      <c r="Q7" s="164"/>
      <c r="R7" s="151"/>
    </row>
    <row r="8" spans="1:18" x14ac:dyDescent="0.25">
      <c r="A8" s="158" t="s">
        <v>17</v>
      </c>
      <c r="B8" s="223">
        <v>25</v>
      </c>
      <c r="C8" s="154"/>
      <c r="D8" s="162" t="s">
        <v>49</v>
      </c>
      <c r="E8" s="163"/>
      <c r="F8" s="163"/>
      <c r="G8" s="164"/>
      <c r="H8" s="164"/>
      <c r="L8" s="152"/>
      <c r="M8" s="190"/>
      <c r="N8" s="190"/>
      <c r="O8" s="190"/>
      <c r="P8" s="190"/>
      <c r="Q8" s="164"/>
      <c r="R8" s="151"/>
    </row>
    <row r="9" spans="1:18" x14ac:dyDescent="0.25">
      <c r="A9" s="158" t="s">
        <v>18</v>
      </c>
      <c r="B9" s="224">
        <v>0.08</v>
      </c>
      <c r="C9" s="154"/>
      <c r="D9" s="151" t="s">
        <v>50</v>
      </c>
      <c r="L9" s="152"/>
      <c r="M9" s="190"/>
      <c r="N9" s="190"/>
      <c r="O9" s="190"/>
      <c r="P9" s="190"/>
      <c r="Q9" s="164"/>
      <c r="R9" s="151"/>
    </row>
    <row r="10" spans="1:18" x14ac:dyDescent="0.25">
      <c r="A10" s="158" t="s">
        <v>133</v>
      </c>
      <c r="B10" s="225">
        <f>B5*12*(1+B7)^(B6)</f>
        <v>1200000</v>
      </c>
      <c r="C10" s="154"/>
      <c r="D10" s="151" t="s">
        <v>51</v>
      </c>
      <c r="L10" s="152"/>
      <c r="M10" s="190"/>
      <c r="N10" s="190"/>
      <c r="O10" s="190"/>
      <c r="P10" s="190"/>
      <c r="Q10" s="164"/>
      <c r="R10" s="151"/>
    </row>
    <row r="11" spans="1:18" x14ac:dyDescent="0.25">
      <c r="A11" s="158" t="s">
        <v>134</v>
      </c>
      <c r="B11" s="224">
        <v>0.08</v>
      </c>
      <c r="C11" s="154"/>
      <c r="D11" s="151" t="s">
        <v>53</v>
      </c>
      <c r="L11" s="152"/>
      <c r="M11" s="190"/>
      <c r="N11" s="190"/>
      <c r="O11" s="190"/>
      <c r="P11" s="190"/>
      <c r="Q11" s="164"/>
      <c r="R11" s="151"/>
    </row>
    <row r="12" spans="1:18" x14ac:dyDescent="0.25">
      <c r="A12" s="168" t="s">
        <v>129</v>
      </c>
      <c r="B12" s="169">
        <f>PV((1+retroi)/(1+rinf)-1,k,-prepen1,,1)</f>
        <v>30000000</v>
      </c>
      <c r="C12" s="154"/>
      <c r="D12" s="151" t="s">
        <v>54</v>
      </c>
      <c r="L12" s="152"/>
      <c r="M12" s="190"/>
      <c r="N12" s="190"/>
      <c r="O12" s="190"/>
      <c r="P12" s="190"/>
      <c r="Q12" s="164"/>
      <c r="R12" s="151"/>
    </row>
    <row r="13" spans="1:18" ht="15.6" x14ac:dyDescent="0.3">
      <c r="A13" s="168" t="s">
        <v>121</v>
      </c>
      <c r="B13" s="170"/>
      <c r="C13" s="154"/>
      <c r="D13" s="192" t="s">
        <v>72</v>
      </c>
      <c r="E13" s="193"/>
      <c r="F13" s="193"/>
      <c r="G13" s="193"/>
      <c r="H13" s="193"/>
      <c r="I13" s="193"/>
      <c r="J13" s="193"/>
      <c r="K13" s="193"/>
      <c r="L13" s="152"/>
      <c r="M13" s="190"/>
      <c r="N13" s="190"/>
      <c r="O13" s="190"/>
      <c r="P13" s="190"/>
      <c r="Q13" s="164"/>
      <c r="R13" s="151"/>
    </row>
    <row r="14" spans="1:18" ht="15.6" x14ac:dyDescent="0.3">
      <c r="A14" s="168" t="s">
        <v>122</v>
      </c>
      <c r="B14" s="170"/>
      <c r="C14" s="154"/>
      <c r="D14" s="155" t="s">
        <v>126</v>
      </c>
      <c r="L14" s="152"/>
      <c r="M14" s="190"/>
      <c r="N14" s="190"/>
      <c r="O14" s="190"/>
      <c r="P14" s="190"/>
      <c r="Q14" s="164"/>
      <c r="R14" s="151"/>
    </row>
    <row r="15" spans="1:18" ht="15.6" x14ac:dyDescent="0.3">
      <c r="A15" s="168" t="s">
        <v>52</v>
      </c>
      <c r="B15" s="170"/>
      <c r="C15" s="152"/>
      <c r="D15" s="155" t="s">
        <v>127</v>
      </c>
      <c r="L15" s="152"/>
      <c r="M15" s="190"/>
      <c r="N15" s="190"/>
      <c r="O15" s="190"/>
      <c r="P15" s="190"/>
      <c r="Q15" s="164"/>
      <c r="R15" s="151"/>
    </row>
    <row r="16" spans="1:18" ht="15.6" x14ac:dyDescent="0.3">
      <c r="A16" s="166" t="s">
        <v>73</v>
      </c>
      <c r="B16" s="171"/>
      <c r="C16" s="152"/>
      <c r="D16" s="151" t="s">
        <v>128</v>
      </c>
      <c r="L16" s="152"/>
      <c r="M16" s="190"/>
      <c r="N16" s="190"/>
      <c r="O16" s="190"/>
      <c r="P16" s="190"/>
      <c r="Q16" s="164"/>
      <c r="R16" s="151"/>
    </row>
    <row r="17" spans="1:18" ht="15.6" x14ac:dyDescent="0.3">
      <c r="A17" s="173" t="s">
        <v>41</v>
      </c>
      <c r="B17" s="174"/>
      <c r="C17" s="152"/>
      <c r="L17" s="152"/>
      <c r="M17" s="194"/>
      <c r="N17" s="190"/>
      <c r="O17" s="190"/>
      <c r="P17" s="190"/>
      <c r="Q17" s="164"/>
      <c r="R17" s="151"/>
    </row>
    <row r="18" spans="1:18" ht="15.6" x14ac:dyDescent="0.3">
      <c r="A18" s="173" t="s">
        <v>42</v>
      </c>
      <c r="B18" s="174"/>
      <c r="C18" s="152"/>
      <c r="D18" s="172"/>
      <c r="E18" s="172" t="s">
        <v>12</v>
      </c>
      <c r="F18" s="172" t="s">
        <v>19</v>
      </c>
      <c r="G18" s="172" t="s">
        <v>39</v>
      </c>
      <c r="H18" s="201" t="s">
        <v>60</v>
      </c>
      <c r="L18" s="152"/>
      <c r="M18" s="190"/>
      <c r="N18" s="190"/>
      <c r="O18" s="190"/>
      <c r="P18" s="190"/>
      <c r="Q18" s="164"/>
      <c r="R18" s="151"/>
    </row>
    <row r="19" spans="1:18" ht="15.6" x14ac:dyDescent="0.3">
      <c r="A19" s="177" t="s">
        <v>43</v>
      </c>
      <c r="B19" s="174"/>
      <c r="C19" s="152"/>
      <c r="D19" s="172" t="s">
        <v>2</v>
      </c>
      <c r="E19" s="158" t="s">
        <v>5</v>
      </c>
      <c r="F19" s="175">
        <v>0.5</v>
      </c>
      <c r="G19" s="161">
        <v>0.08</v>
      </c>
      <c r="H19" s="216">
        <f>NPER((1+_min1)/(1+rinf)-1,-B33,F19*B20,,1)</f>
        <v>6.25</v>
      </c>
      <c r="L19" s="152"/>
      <c r="M19" s="190"/>
      <c r="N19" s="190"/>
      <c r="O19" s="190"/>
      <c r="P19" s="190"/>
      <c r="Q19" s="164"/>
      <c r="R19" s="151"/>
    </row>
    <row r="20" spans="1:18" ht="15.6" x14ac:dyDescent="0.3">
      <c r="A20" s="170" t="s">
        <v>44</v>
      </c>
      <c r="B20" s="237">
        <v>15000000</v>
      </c>
      <c r="C20" s="152"/>
      <c r="D20" s="155"/>
      <c r="G20" s="172" t="s">
        <v>37</v>
      </c>
      <c r="H20" s="172" t="s">
        <v>38</v>
      </c>
      <c r="L20" s="152"/>
      <c r="M20" s="190"/>
      <c r="N20" s="190"/>
      <c r="O20" s="190"/>
      <c r="P20" s="190"/>
      <c r="Q20" s="164"/>
      <c r="R20" s="151"/>
    </row>
    <row r="21" spans="1:18" ht="15.6" x14ac:dyDescent="0.3">
      <c r="A21" s="178" t="s">
        <v>45</v>
      </c>
      <c r="B21" s="170"/>
      <c r="C21" s="152"/>
      <c r="D21" s="172" t="s">
        <v>3</v>
      </c>
      <c r="E21" s="158" t="s">
        <v>11</v>
      </c>
      <c r="F21" s="226">
        <v>0.1</v>
      </c>
      <c r="G21" s="161">
        <v>0.09</v>
      </c>
      <c r="H21" s="161">
        <v>0.03</v>
      </c>
      <c r="L21" s="152"/>
      <c r="M21" s="190"/>
      <c r="N21" s="190"/>
      <c r="O21" s="190">
        <f>B20*alloc1/100000</f>
        <v>75</v>
      </c>
      <c r="P21" s="190"/>
      <c r="Q21" s="164"/>
      <c r="R21" s="151"/>
    </row>
    <row r="22" spans="1:18" ht="15.6" x14ac:dyDescent="0.3">
      <c r="A22" s="178" t="s">
        <v>123</v>
      </c>
      <c r="B22" s="170"/>
      <c r="C22" s="152"/>
      <c r="D22" s="172" t="s">
        <v>6</v>
      </c>
      <c r="E22" s="158" t="s">
        <v>10</v>
      </c>
      <c r="F22" s="226">
        <v>0.2</v>
      </c>
      <c r="G22" s="161">
        <v>0.1</v>
      </c>
      <c r="H22" s="161">
        <v>0.1</v>
      </c>
      <c r="L22" s="152"/>
      <c r="M22" s="190"/>
      <c r="N22" s="190"/>
      <c r="O22" s="190">
        <f>ROUND(Inputs!F19*Inputs!B20,0)/100000</f>
        <v>75</v>
      </c>
      <c r="P22" s="190"/>
      <c r="Q22" s="164"/>
      <c r="R22" s="151"/>
    </row>
    <row r="23" spans="1:18" ht="15.6" x14ac:dyDescent="0.3">
      <c r="C23" s="152"/>
      <c r="D23" s="172" t="s">
        <v>8</v>
      </c>
      <c r="E23" s="158" t="s">
        <v>4</v>
      </c>
      <c r="F23" s="226">
        <v>0.1</v>
      </c>
      <c r="G23" s="161">
        <v>0.12</v>
      </c>
      <c r="H23" s="161">
        <v>0.2</v>
      </c>
      <c r="L23" s="152"/>
      <c r="M23" s="190"/>
      <c r="N23" s="190"/>
      <c r="O23" s="190">
        <f>ROUND(Inputs!F21*Inputs!B20,0)/100000</f>
        <v>15</v>
      </c>
      <c r="P23" s="190"/>
      <c r="Q23" s="164"/>
      <c r="R23" s="151"/>
    </row>
    <row r="24" spans="1:18" ht="15.6" x14ac:dyDescent="0.3">
      <c r="A24" s="151" t="s">
        <v>138</v>
      </c>
      <c r="C24" s="152"/>
      <c r="D24" s="202" t="s">
        <v>9</v>
      </c>
      <c r="E24" s="203" t="s">
        <v>7</v>
      </c>
      <c r="F24" s="227">
        <v>0.1</v>
      </c>
      <c r="G24" s="204">
        <v>0.15</v>
      </c>
      <c r="H24" s="204">
        <v>0.3</v>
      </c>
      <c r="L24" s="152"/>
      <c r="M24" s="190"/>
      <c r="N24" s="190"/>
      <c r="O24" s="190"/>
      <c r="P24" s="190"/>
      <c r="Q24" s="164"/>
      <c r="R24" s="151"/>
    </row>
    <row r="25" spans="1:18" ht="15.6" x14ac:dyDescent="0.3">
      <c r="A25" s="151" t="s">
        <v>130</v>
      </c>
      <c r="B25" s="179"/>
      <c r="C25" s="152"/>
      <c r="D25" s="196" t="s">
        <v>146</v>
      </c>
      <c r="E25" s="197"/>
      <c r="F25" s="198"/>
      <c r="G25" s="199"/>
      <c r="H25" s="200"/>
      <c r="I25" s="207"/>
      <c r="J25" s="207"/>
      <c r="K25" s="208"/>
      <c r="L25" s="152"/>
      <c r="M25" s="190"/>
      <c r="N25" s="190"/>
      <c r="O25" s="190"/>
      <c r="P25" s="190"/>
      <c r="Q25" s="164"/>
      <c r="R25" s="151"/>
    </row>
    <row r="26" spans="1:18" ht="15.6" x14ac:dyDescent="0.3">
      <c r="A26" s="151" t="s">
        <v>131</v>
      </c>
      <c r="C26" s="152"/>
      <c r="D26" s="209" t="s">
        <v>147</v>
      </c>
      <c r="E26" s="205"/>
      <c r="F26" s="205"/>
      <c r="G26" s="205"/>
      <c r="H26" s="206"/>
      <c r="L26" s="152"/>
      <c r="M26" s="190"/>
      <c r="N26" s="190"/>
      <c r="O26" s="190"/>
      <c r="P26" s="190"/>
      <c r="Q26" s="164"/>
      <c r="R26" s="151"/>
    </row>
    <row r="27" spans="1:18" ht="15.6" x14ac:dyDescent="0.3">
      <c r="A27" s="151" t="s">
        <v>132</v>
      </c>
      <c r="B27" s="165"/>
      <c r="C27" s="152"/>
      <c r="D27" s="155" t="s">
        <v>119</v>
      </c>
      <c r="L27" s="152"/>
      <c r="M27" s="190"/>
      <c r="N27" s="190"/>
      <c r="O27" s="190"/>
      <c r="P27" s="190"/>
      <c r="Q27" s="164"/>
      <c r="R27" s="151"/>
    </row>
    <row r="28" spans="1:18" x14ac:dyDescent="0.25">
      <c r="A28" s="151" t="s">
        <v>136</v>
      </c>
      <c r="C28" s="152"/>
      <c r="D28" s="162" t="s">
        <v>55</v>
      </c>
      <c r="E28" s="156"/>
      <c r="L28" s="152"/>
      <c r="M28" s="190"/>
      <c r="N28" s="190"/>
      <c r="O28" s="190"/>
      <c r="P28" s="190"/>
      <c r="Q28" s="164"/>
      <c r="R28" s="151"/>
    </row>
    <row r="29" spans="1:18" x14ac:dyDescent="0.25">
      <c r="A29" s="151" t="s">
        <v>137</v>
      </c>
      <c r="B29" s="165"/>
      <c r="C29" s="152"/>
      <c r="D29" s="151" t="s">
        <v>56</v>
      </c>
      <c r="E29" s="156"/>
      <c r="L29" s="152"/>
      <c r="M29" s="190"/>
      <c r="N29" s="190"/>
      <c r="O29" s="190"/>
      <c r="P29" s="190"/>
      <c r="Q29" s="164"/>
      <c r="R29" s="151"/>
    </row>
    <row r="30" spans="1:18" ht="15.6" x14ac:dyDescent="0.3">
      <c r="A30" s="151" t="s">
        <v>135</v>
      </c>
      <c r="B30" s="161">
        <v>0.1</v>
      </c>
      <c r="C30" s="152"/>
      <c r="D30" s="151" t="s">
        <v>120</v>
      </c>
      <c r="E30" s="156"/>
      <c r="L30" s="180"/>
      <c r="M30" s="190"/>
      <c r="N30" s="190"/>
      <c r="O30" s="190"/>
      <c r="P30" s="190"/>
      <c r="Q30" s="190"/>
      <c r="R30" s="151"/>
    </row>
    <row r="31" spans="1:18" x14ac:dyDescent="0.25">
      <c r="C31" s="152"/>
      <c r="D31" s="151" t="s">
        <v>57</v>
      </c>
      <c r="E31" s="156"/>
      <c r="L31" s="180"/>
      <c r="M31" s="190"/>
      <c r="N31" s="190"/>
      <c r="O31" s="190"/>
      <c r="P31" s="190"/>
      <c r="Q31" s="190"/>
      <c r="R31" s="151"/>
    </row>
    <row r="32" spans="1:18" x14ac:dyDescent="0.25">
      <c r="A32" s="151" t="s">
        <v>144</v>
      </c>
      <c r="C32" s="152"/>
      <c r="D32" s="162" t="s">
        <v>58</v>
      </c>
      <c r="L32" s="180"/>
      <c r="M32" s="190"/>
      <c r="N32" s="190"/>
      <c r="O32" s="190"/>
      <c r="P32" s="190"/>
      <c r="Q32" s="190"/>
      <c r="R32" s="151"/>
    </row>
    <row r="33" spans="1:18" x14ac:dyDescent="0.25">
      <c r="A33" s="151" t="s">
        <v>145</v>
      </c>
      <c r="B33" s="176">
        <f>(prepen1)-(pension)-(income)</f>
        <v>1200000</v>
      </c>
      <c r="C33" s="152"/>
      <c r="D33" s="162"/>
      <c r="L33" s="180"/>
      <c r="M33" s="190"/>
      <c r="N33" s="190"/>
      <c r="O33" s="190"/>
      <c r="P33" s="190"/>
      <c r="Q33" s="190"/>
      <c r="R33" s="151"/>
    </row>
    <row r="34" spans="1:18" ht="6" customHeight="1" x14ac:dyDescent="0.25">
      <c r="A34" s="180"/>
      <c r="B34" s="181"/>
      <c r="C34" s="180"/>
      <c r="D34" s="152"/>
      <c r="E34" s="152"/>
      <c r="F34" s="152"/>
      <c r="G34" s="152"/>
      <c r="H34" s="152"/>
      <c r="I34" s="152"/>
      <c r="J34" s="152"/>
      <c r="K34" s="152"/>
      <c r="L34" s="180"/>
      <c r="M34" s="190"/>
      <c r="N34" s="190"/>
      <c r="O34" s="190"/>
      <c r="P34" s="190"/>
      <c r="Q34" s="190"/>
      <c r="R34" s="151"/>
    </row>
    <row r="35" spans="1:18" ht="15.6" x14ac:dyDescent="0.3">
      <c r="A35" s="182" t="s">
        <v>61</v>
      </c>
      <c r="B35" s="183"/>
      <c r="C35" s="183"/>
      <c r="D35" s="167"/>
      <c r="E35" s="167"/>
      <c r="F35" s="167"/>
      <c r="G35" s="167"/>
      <c r="H35" s="167"/>
      <c r="I35" s="167"/>
      <c r="J35" s="167"/>
      <c r="K35" s="167"/>
      <c r="L35" s="180"/>
      <c r="M35" s="190"/>
      <c r="N35" s="190"/>
      <c r="O35" s="190"/>
      <c r="P35" s="190"/>
      <c r="Q35" s="190"/>
      <c r="R35" s="151"/>
    </row>
    <row r="36" spans="1:18" ht="6" customHeight="1" x14ac:dyDescent="0.25">
      <c r="A36" s="181"/>
      <c r="B36" s="181"/>
      <c r="C36" s="180"/>
      <c r="D36" s="152"/>
      <c r="E36" s="152"/>
      <c r="F36" s="152"/>
      <c r="G36" s="152"/>
      <c r="H36" s="152"/>
      <c r="I36" s="152"/>
      <c r="J36" s="152"/>
      <c r="K36" s="152"/>
      <c r="L36" s="180"/>
      <c r="M36" s="190"/>
      <c r="N36" s="190"/>
      <c r="O36" s="190"/>
      <c r="P36" s="190"/>
      <c r="Q36" s="190"/>
      <c r="R36" s="151"/>
    </row>
    <row r="37" spans="1:18" x14ac:dyDescent="0.25">
      <c r="A37" s="184" t="s">
        <v>124</v>
      </c>
      <c r="B37" s="185"/>
      <c r="C37" s="186"/>
      <c r="D37" s="167"/>
      <c r="E37" s="167"/>
      <c r="F37" s="167"/>
      <c r="G37" s="167"/>
      <c r="H37" s="167"/>
      <c r="I37" s="167"/>
      <c r="J37" s="167"/>
      <c r="K37" s="167"/>
      <c r="L37" s="180"/>
      <c r="M37" s="190"/>
      <c r="N37" s="190"/>
      <c r="O37" s="190"/>
      <c r="P37" s="190"/>
      <c r="Q37" s="190"/>
      <c r="R37" s="151"/>
    </row>
    <row r="38" spans="1:18" x14ac:dyDescent="0.25">
      <c r="A38" s="184" t="s">
        <v>125</v>
      </c>
      <c r="B38" s="185"/>
      <c r="C38" s="186"/>
      <c r="D38" s="167"/>
      <c r="E38" s="167"/>
      <c r="F38" s="167"/>
      <c r="G38" s="167"/>
      <c r="H38" s="167"/>
      <c r="I38" s="167"/>
      <c r="J38" s="167"/>
      <c r="K38" s="167"/>
      <c r="L38" s="180"/>
      <c r="M38" s="190"/>
      <c r="N38" s="190"/>
      <c r="O38" s="190"/>
      <c r="P38" s="190"/>
      <c r="Q38" s="190"/>
      <c r="R38" s="151"/>
    </row>
    <row r="39" spans="1:18" ht="6" customHeight="1" x14ac:dyDescent="0.25">
      <c r="A39" s="181"/>
      <c r="B39" s="181"/>
      <c r="C39" s="187"/>
      <c r="D39" s="152"/>
      <c r="E39" s="152"/>
      <c r="F39" s="152"/>
      <c r="G39" s="152"/>
      <c r="H39" s="152"/>
      <c r="I39" s="152"/>
      <c r="J39" s="152"/>
      <c r="K39" s="152"/>
      <c r="L39" s="180"/>
      <c r="M39" s="190"/>
      <c r="N39" s="190"/>
      <c r="O39" s="190"/>
      <c r="P39" s="190"/>
      <c r="Q39" s="190"/>
      <c r="R39" s="151"/>
    </row>
    <row r="40" spans="1:18" x14ac:dyDescent="0.25">
      <c r="A40" s="162" t="s">
        <v>116</v>
      </c>
      <c r="B40" s="188"/>
      <c r="C40" s="189"/>
      <c r="D40" s="164"/>
      <c r="E40" s="156"/>
      <c r="L40" s="180"/>
      <c r="M40" s="190"/>
      <c r="N40" s="190"/>
      <c r="O40" s="190"/>
      <c r="P40" s="190"/>
      <c r="Q40" s="190"/>
      <c r="R40" s="151"/>
    </row>
    <row r="41" spans="1:18" x14ac:dyDescent="0.25">
      <c r="A41" s="151" t="s">
        <v>117</v>
      </c>
      <c r="C41" s="156"/>
      <c r="E41" s="156"/>
      <c r="L41" s="180"/>
      <c r="M41" s="164"/>
      <c r="N41" s="164"/>
      <c r="O41" s="164"/>
      <c r="P41" s="164"/>
      <c r="Q41" s="190"/>
      <c r="R41" s="151"/>
    </row>
    <row r="42" spans="1:18" ht="6" customHeight="1" x14ac:dyDescent="0.25">
      <c r="A42" s="181"/>
      <c r="B42" s="181"/>
      <c r="C42" s="187"/>
      <c r="D42" s="152"/>
      <c r="E42" s="152"/>
      <c r="F42" s="152"/>
      <c r="G42" s="152"/>
      <c r="H42" s="152"/>
      <c r="I42" s="152"/>
      <c r="J42" s="152"/>
      <c r="K42" s="152"/>
      <c r="L42" s="180"/>
      <c r="Q42" s="190"/>
      <c r="R42" s="151"/>
    </row>
    <row r="43" spans="1:18" x14ac:dyDescent="0.25">
      <c r="A43" s="162"/>
      <c r="D43" s="162"/>
      <c r="E43" s="156"/>
      <c r="L43" s="190"/>
      <c r="Q43" s="190"/>
      <c r="R43" s="151"/>
    </row>
    <row r="44" spans="1:18" x14ac:dyDescent="0.25">
      <c r="D44" s="162"/>
      <c r="E44" s="156"/>
      <c r="L44" s="190"/>
      <c r="R44" s="151"/>
    </row>
    <row r="45" spans="1:18" ht="15.6" x14ac:dyDescent="0.3">
      <c r="D45" s="191"/>
      <c r="E45" s="156"/>
      <c r="R45" s="151"/>
    </row>
    <row r="46" spans="1:18" x14ac:dyDescent="0.25">
      <c r="D46" s="162"/>
      <c r="E46" s="156"/>
      <c r="R46" s="151"/>
    </row>
    <row r="47" spans="1:18" x14ac:dyDescent="0.25">
      <c r="D47" s="162"/>
      <c r="E47" s="156"/>
      <c r="R47" s="151"/>
    </row>
    <row r="48" spans="1:18" x14ac:dyDescent="0.25">
      <c r="D48" s="162"/>
      <c r="E48" s="156"/>
      <c r="R48" s="151"/>
    </row>
    <row r="49" spans="2:18" x14ac:dyDescent="0.25">
      <c r="R49" s="151"/>
    </row>
    <row r="50" spans="2:18" x14ac:dyDescent="0.25">
      <c r="R50" s="151"/>
    </row>
    <row r="51" spans="2:18" x14ac:dyDescent="0.25">
      <c r="R51" s="151"/>
    </row>
    <row r="52" spans="2:18" x14ac:dyDescent="0.25">
      <c r="R52" s="151"/>
    </row>
    <row r="53" spans="2:18" x14ac:dyDescent="0.25">
      <c r="R53" s="151"/>
    </row>
    <row r="54" spans="2:18" x14ac:dyDescent="0.25">
      <c r="R54" s="151"/>
    </row>
    <row r="55" spans="2:18" x14ac:dyDescent="0.25">
      <c r="B55" s="163"/>
      <c r="C55" s="164"/>
      <c r="D55" s="164"/>
      <c r="E55" s="164"/>
      <c r="F55" s="164"/>
      <c r="G55" s="164"/>
      <c r="H55" s="164"/>
      <c r="R55" s="151"/>
    </row>
    <row r="56" spans="2:18" x14ac:dyDescent="0.25">
      <c r="B56" s="163"/>
      <c r="C56" s="164"/>
      <c r="D56" s="164"/>
      <c r="E56" s="164"/>
      <c r="F56" s="164"/>
      <c r="G56" s="164"/>
      <c r="H56" s="164"/>
      <c r="R56" s="151"/>
    </row>
    <row r="57" spans="2:18" x14ac:dyDescent="0.25">
      <c r="B57" s="163"/>
      <c r="C57" s="164"/>
      <c r="D57" s="162"/>
      <c r="E57" s="163"/>
      <c r="F57" s="163"/>
      <c r="G57" s="164"/>
      <c r="H57" s="164"/>
      <c r="R57" s="151"/>
    </row>
    <row r="58" spans="2:18" x14ac:dyDescent="0.25">
      <c r="B58" s="163"/>
      <c r="C58" s="164"/>
      <c r="D58" s="162"/>
      <c r="E58" s="163"/>
      <c r="F58" s="163"/>
      <c r="G58" s="164"/>
      <c r="H58" s="164"/>
      <c r="R58" s="151"/>
    </row>
    <row r="59" spans="2:18" x14ac:dyDescent="0.25">
      <c r="B59" s="163"/>
      <c r="C59" s="164"/>
      <c r="D59" s="162"/>
      <c r="E59" s="163"/>
      <c r="F59" s="163"/>
      <c r="G59" s="164"/>
      <c r="H59" s="164"/>
      <c r="R59" s="151"/>
    </row>
    <row r="60" spans="2:18" x14ac:dyDescent="0.25">
      <c r="B60" s="163"/>
      <c r="C60" s="164"/>
      <c r="D60" s="162"/>
      <c r="E60" s="163"/>
      <c r="F60" s="163"/>
      <c r="G60" s="164"/>
      <c r="H60" s="164"/>
      <c r="R60" s="151"/>
    </row>
    <row r="61" spans="2:18" x14ac:dyDescent="0.25">
      <c r="B61" s="163"/>
      <c r="C61" s="164"/>
      <c r="D61" s="162"/>
      <c r="E61" s="163"/>
      <c r="F61" s="163"/>
      <c r="G61" s="164"/>
      <c r="H61" s="164"/>
      <c r="R61" s="151"/>
    </row>
    <row r="62" spans="2:18" x14ac:dyDescent="0.25">
      <c r="B62" s="163"/>
      <c r="C62" s="164"/>
      <c r="D62" s="162"/>
      <c r="E62" s="163"/>
      <c r="F62" s="163"/>
      <c r="G62" s="164"/>
      <c r="H62" s="164"/>
      <c r="R62" s="151"/>
    </row>
    <row r="63" spans="2:18" x14ac:dyDescent="0.25">
      <c r="B63" s="163"/>
      <c r="C63" s="164"/>
      <c r="D63" s="162"/>
      <c r="E63" s="163"/>
      <c r="F63" s="163"/>
      <c r="G63" s="164"/>
      <c r="H63" s="164"/>
      <c r="R63" s="151"/>
    </row>
    <row r="64" spans="2:18" x14ac:dyDescent="0.25">
      <c r="B64" s="163"/>
      <c r="C64" s="164"/>
      <c r="D64" s="162"/>
      <c r="E64" s="163"/>
      <c r="F64" s="163"/>
      <c r="G64" s="164"/>
      <c r="H64" s="164"/>
      <c r="R64" s="151"/>
    </row>
    <row r="65" spans="2:18" x14ac:dyDescent="0.25">
      <c r="B65" s="163"/>
      <c r="C65" s="164"/>
      <c r="D65" s="162"/>
      <c r="E65" s="163"/>
      <c r="F65" s="163"/>
      <c r="G65" s="164"/>
      <c r="H65" s="164"/>
      <c r="R65" s="151"/>
    </row>
    <row r="66" spans="2:18" x14ac:dyDescent="0.25">
      <c r="B66" s="163"/>
      <c r="C66" s="164"/>
      <c r="D66" s="162"/>
      <c r="E66" s="163"/>
      <c r="F66" s="163"/>
      <c r="G66" s="164"/>
      <c r="H66" s="164"/>
      <c r="R66" s="151"/>
    </row>
    <row r="67" spans="2:18" x14ac:dyDescent="0.25">
      <c r="B67" s="163"/>
      <c r="C67" s="164"/>
      <c r="D67" s="162"/>
      <c r="E67" s="163"/>
      <c r="F67" s="163"/>
      <c r="G67" s="164"/>
      <c r="H67" s="164"/>
      <c r="R67" s="151"/>
    </row>
    <row r="68" spans="2:18" x14ac:dyDescent="0.25">
      <c r="B68" s="163"/>
      <c r="C68" s="164"/>
      <c r="D68" s="162"/>
      <c r="E68" s="163"/>
      <c r="F68" s="163"/>
      <c r="G68" s="164"/>
      <c r="H68" s="164"/>
      <c r="R68" s="151"/>
    </row>
    <row r="69" spans="2:18" x14ac:dyDescent="0.25">
      <c r="B69" s="163"/>
      <c r="C69" s="164"/>
      <c r="D69" s="164"/>
      <c r="E69" s="163"/>
      <c r="F69" s="163"/>
      <c r="G69" s="164"/>
      <c r="H69" s="164"/>
    </row>
    <row r="70" spans="2:18" x14ac:dyDescent="0.25">
      <c r="B70" s="163"/>
      <c r="C70" s="164"/>
      <c r="D70" s="164"/>
      <c r="E70" s="164"/>
      <c r="F70" s="164"/>
      <c r="G70" s="164"/>
      <c r="H70" s="164"/>
    </row>
    <row r="71" spans="2:18" x14ac:dyDescent="0.25">
      <c r="B71" s="163"/>
      <c r="C71" s="164"/>
      <c r="D71" s="164"/>
      <c r="E71" s="164"/>
      <c r="F71" s="164"/>
      <c r="G71" s="164"/>
      <c r="H71" s="164"/>
    </row>
  </sheetData>
  <phoneticPr fontId="6" type="noConversion"/>
  <conditionalFormatting sqref="F19 F21:F24 D26:H26">
    <cfRule type="expression" dxfId="14" priority="2" stopIfTrue="1">
      <formula>SUM($F$19:$F$24)&lt;&gt;100%</formula>
    </cfRule>
  </conditionalFormatting>
  <conditionalFormatting sqref="F21:F24">
    <cfRule type="expression" dxfId="13" priority="1" stopIfTrue="1">
      <formula>SUM($F$19:$F$24)&lt;&gt;100%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26"/>
  <sheetViews>
    <sheetView topLeftCell="A7" zoomScale="55" workbookViewId="0">
      <selection activeCell="I29" sqref="I29"/>
    </sheetView>
  </sheetViews>
  <sheetFormatPr defaultColWidth="8.88671875" defaultRowHeight="17.399999999999999" x14ac:dyDescent="0.3"/>
  <cols>
    <col min="1" max="8" width="8.88671875" style="113"/>
    <col min="9" max="9" width="11" style="113" customWidth="1"/>
    <col min="10" max="16384" width="8.88671875" style="113"/>
  </cols>
  <sheetData>
    <row r="1" spans="1:27" x14ac:dyDescent="0.3">
      <c r="A1" s="109" t="s">
        <v>103</v>
      </c>
      <c r="B1" s="110"/>
      <c r="C1" s="110"/>
      <c r="D1" s="110"/>
      <c r="E1" s="110"/>
      <c r="F1" s="110"/>
      <c r="G1" s="112"/>
    </row>
    <row r="2" spans="1:27" x14ac:dyDescent="0.3">
      <c r="L2" s="109" t="s">
        <v>104</v>
      </c>
      <c r="M2" s="110"/>
      <c r="N2" s="110"/>
      <c r="O2" s="111"/>
      <c r="P2" s="126"/>
      <c r="T2" s="109" t="s">
        <v>105</v>
      </c>
      <c r="U2" s="110"/>
      <c r="V2" s="110"/>
      <c r="W2" s="110"/>
      <c r="X2" s="110"/>
      <c r="Y2" s="110"/>
      <c r="Z2" s="110"/>
      <c r="AA2" s="112"/>
    </row>
    <row r="4" spans="1:27" x14ac:dyDescent="0.3">
      <c r="B4" s="108"/>
      <c r="C4" s="108"/>
      <c r="D4" s="108"/>
      <c r="E4" s="108"/>
      <c r="F4" s="108"/>
      <c r="G4" s="108"/>
      <c r="H4" s="108"/>
      <c r="I4" s="108"/>
    </row>
    <row r="5" spans="1:27" x14ac:dyDescent="0.3">
      <c r="A5" s="116" t="s">
        <v>109</v>
      </c>
      <c r="B5" s="117"/>
      <c r="C5" s="117"/>
      <c r="D5" s="117"/>
      <c r="E5" s="117"/>
      <c r="F5" s="117"/>
      <c r="G5" s="117"/>
      <c r="H5" s="117"/>
      <c r="I5" s="118"/>
    </row>
    <row r="6" spans="1:27" x14ac:dyDescent="0.3">
      <c r="A6" s="120" t="s">
        <v>106</v>
      </c>
      <c r="B6" s="114"/>
      <c r="C6" s="114"/>
      <c r="D6" s="114"/>
      <c r="E6" s="114"/>
      <c r="F6" s="114"/>
      <c r="G6" s="114"/>
      <c r="H6" s="114"/>
      <c r="I6" s="119"/>
    </row>
    <row r="7" spans="1:27" x14ac:dyDescent="0.3">
      <c r="A7" s="120" t="s">
        <v>107</v>
      </c>
      <c r="B7" s="115"/>
      <c r="C7" s="115"/>
      <c r="D7" s="115"/>
      <c r="E7" s="115"/>
      <c r="F7" s="115"/>
      <c r="G7" s="115"/>
      <c r="H7" s="115"/>
      <c r="I7" s="135"/>
    </row>
    <row r="8" spans="1:27" x14ac:dyDescent="0.3">
      <c r="A8" s="121" t="s">
        <v>108</v>
      </c>
      <c r="B8" s="127"/>
      <c r="C8" s="127"/>
      <c r="D8" s="127"/>
      <c r="E8" s="127"/>
      <c r="F8" s="127"/>
      <c r="G8" s="127"/>
      <c r="H8" s="127"/>
      <c r="I8" s="128"/>
    </row>
    <row r="10" spans="1:27" x14ac:dyDescent="0.3">
      <c r="A10" s="122"/>
    </row>
    <row r="11" spans="1:27" x14ac:dyDescent="0.3">
      <c r="A11" s="122"/>
    </row>
    <row r="13" spans="1:27" x14ac:dyDescent="0.3">
      <c r="A13" s="140"/>
      <c r="B13" s="139"/>
      <c r="C13" s="139"/>
      <c r="D13" s="139"/>
      <c r="E13" s="139"/>
      <c r="F13" s="139"/>
      <c r="G13" s="139"/>
      <c r="H13" s="139"/>
      <c r="I13" s="139"/>
      <c r="J13" s="123"/>
      <c r="K13" s="129"/>
      <c r="L13" s="125"/>
      <c r="M13" s="125"/>
    </row>
    <row r="14" spans="1:27" x14ac:dyDescent="0.3">
      <c r="A14" s="122"/>
      <c r="B14" s="139"/>
      <c r="C14" s="139"/>
      <c r="D14" s="139"/>
      <c r="E14" s="139"/>
      <c r="F14" s="139"/>
      <c r="G14" s="139"/>
      <c r="H14" s="139"/>
      <c r="I14" s="139"/>
      <c r="J14" s="123"/>
      <c r="K14" s="129"/>
      <c r="L14" s="125"/>
      <c r="M14" s="125"/>
    </row>
    <row r="15" spans="1:27" x14ac:dyDescent="0.3">
      <c r="A15" s="122"/>
      <c r="B15" s="139"/>
      <c r="C15" s="139"/>
      <c r="D15" s="139"/>
      <c r="E15" s="139"/>
      <c r="F15" s="139"/>
      <c r="G15" s="139"/>
      <c r="H15" s="139"/>
      <c r="I15" s="139"/>
      <c r="J15" s="123"/>
      <c r="K15" s="129"/>
      <c r="L15" s="125"/>
      <c r="M15" s="125"/>
    </row>
    <row r="16" spans="1:27" x14ac:dyDescent="0.3">
      <c r="A16" s="139"/>
      <c r="B16" s="122"/>
      <c r="C16" s="122"/>
      <c r="D16" s="122"/>
      <c r="E16" s="122"/>
      <c r="F16" s="122"/>
      <c r="G16" s="122"/>
      <c r="H16" s="122"/>
      <c r="I16" s="122"/>
    </row>
    <row r="17" spans="1:9" x14ac:dyDescent="0.3">
      <c r="A17" s="139"/>
      <c r="B17" s="122"/>
      <c r="C17" s="122"/>
      <c r="D17" s="122"/>
      <c r="E17" s="122"/>
      <c r="F17" s="122"/>
      <c r="G17" s="122"/>
      <c r="H17" s="122"/>
      <c r="I17" s="122"/>
    </row>
    <row r="18" spans="1:9" x14ac:dyDescent="0.3">
      <c r="A18" s="122"/>
      <c r="B18" s="122"/>
      <c r="C18" s="122"/>
      <c r="D18" s="122"/>
      <c r="E18" s="122"/>
      <c r="F18" s="122"/>
      <c r="G18" s="122"/>
      <c r="H18" s="122"/>
      <c r="I18" s="122"/>
    </row>
    <row r="20" spans="1:9" x14ac:dyDescent="0.3">
      <c r="A20" s="136" t="s">
        <v>113</v>
      </c>
      <c r="B20" s="137"/>
      <c r="C20" s="137"/>
      <c r="D20" s="137"/>
      <c r="E20" s="137"/>
      <c r="F20" s="137"/>
      <c r="G20" s="137"/>
      <c r="H20" s="137"/>
      <c r="I20" s="138"/>
    </row>
    <row r="21" spans="1:9" x14ac:dyDescent="0.3">
      <c r="A21" s="134" t="s">
        <v>114</v>
      </c>
      <c r="B21" s="130"/>
      <c r="C21" s="130"/>
      <c r="D21" s="130"/>
      <c r="E21" s="130"/>
      <c r="F21" s="130"/>
      <c r="G21" s="130"/>
      <c r="H21" s="130"/>
      <c r="I21" s="131"/>
    </row>
    <row r="22" spans="1:9" x14ac:dyDescent="0.3">
      <c r="A22" s="124" t="s">
        <v>110</v>
      </c>
      <c r="B22" s="132"/>
      <c r="C22" s="132"/>
      <c r="D22" s="132"/>
      <c r="E22" s="132"/>
      <c r="F22" s="132"/>
      <c r="G22" s="132"/>
      <c r="H22" s="132"/>
      <c r="I22" s="133"/>
    </row>
    <row r="24" spans="1:9" x14ac:dyDescent="0.3">
      <c r="A24" s="136" t="s">
        <v>115</v>
      </c>
      <c r="B24" s="137"/>
      <c r="C24" s="137"/>
      <c r="D24" s="137"/>
      <c r="E24" s="137"/>
      <c r="F24" s="137"/>
      <c r="G24" s="137"/>
      <c r="H24" s="137"/>
      <c r="I24" s="138"/>
    </row>
    <row r="25" spans="1:9" x14ac:dyDescent="0.3">
      <c r="A25" s="134" t="s">
        <v>111</v>
      </c>
      <c r="B25" s="130"/>
      <c r="C25" s="130"/>
      <c r="D25" s="130"/>
      <c r="E25" s="130"/>
      <c r="F25" s="130"/>
      <c r="G25" s="130"/>
      <c r="H25" s="130"/>
      <c r="I25" s="131"/>
    </row>
    <row r="26" spans="1:9" x14ac:dyDescent="0.3">
      <c r="A26" s="124" t="s">
        <v>112</v>
      </c>
      <c r="B26" s="132"/>
      <c r="C26" s="132"/>
      <c r="D26" s="132"/>
      <c r="E26" s="132"/>
      <c r="F26" s="132"/>
      <c r="G26" s="132"/>
      <c r="H26" s="132"/>
      <c r="I26" s="133"/>
    </row>
  </sheetData>
  <phoneticPr fontId="1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C120"/>
  <sheetViews>
    <sheetView zoomScale="70" zoomScaleNormal="70" workbookViewId="0">
      <selection activeCell="AN142" sqref="AN142"/>
    </sheetView>
  </sheetViews>
  <sheetFormatPr defaultColWidth="9.109375" defaultRowHeight="12" x14ac:dyDescent="0.25"/>
  <cols>
    <col min="1" max="1" width="4.5546875" style="1" customWidth="1"/>
    <col min="2" max="2" width="11.6640625" style="1" customWidth="1"/>
    <col min="3" max="3" width="0.5546875" style="3" customWidth="1"/>
    <col min="4" max="4" width="5.33203125" style="1" customWidth="1"/>
    <col min="5" max="5" width="9.44140625" style="1" bestFit="1" customWidth="1"/>
    <col min="6" max="6" width="9.6640625" style="1" bestFit="1" customWidth="1"/>
    <col min="7" max="7" width="5.88671875" style="1" hidden="1" customWidth="1"/>
    <col min="8" max="8" width="9.6640625" style="1" bestFit="1" customWidth="1"/>
    <col min="9" max="9" width="6.88671875" style="1" hidden="1" customWidth="1"/>
    <col min="10" max="10" width="9.6640625" style="1" bestFit="1" customWidth="1"/>
    <col min="11" max="12" width="6.88671875" style="1" hidden="1" customWidth="1"/>
    <col min="13" max="13" width="9.6640625" style="3" bestFit="1" customWidth="1"/>
    <col min="14" max="14" width="0.5546875" style="3" customWidth="1"/>
    <col min="15" max="15" width="9" style="1" customWidth="1"/>
    <col min="16" max="16" width="11.44140625" style="1" customWidth="1"/>
    <col min="17" max="17" width="10.33203125" style="1" customWidth="1"/>
    <col min="18" max="18" width="10.88671875" style="1" customWidth="1"/>
    <col min="19" max="19" width="13.33203125" style="1" customWidth="1"/>
    <col min="20" max="20" width="0.5546875" style="3" customWidth="1"/>
    <col min="21" max="21" width="10.44140625" style="1" customWidth="1"/>
    <col min="22" max="22" width="9.6640625" style="1" customWidth="1"/>
    <col min="23" max="23" width="8.88671875" style="1" bestFit="1" customWidth="1"/>
    <col min="24" max="24" width="8.33203125" style="1" bestFit="1" customWidth="1"/>
    <col min="25" max="25" width="8.88671875" style="1" bestFit="1" customWidth="1"/>
    <col min="26" max="26" width="9.33203125" style="1" customWidth="1"/>
    <col min="27" max="27" width="8.88671875" style="1" bestFit="1" customWidth="1"/>
    <col min="28" max="28" width="8.33203125" style="1" bestFit="1" customWidth="1"/>
    <col min="29" max="29" width="0.5546875" style="3" customWidth="1"/>
    <col min="30" max="30" width="5.44140625" style="1" customWidth="1"/>
    <col min="31" max="31" width="5.5546875" style="1" customWidth="1"/>
    <col min="32" max="32" width="6.33203125" style="1" customWidth="1"/>
    <col min="33" max="35" width="9.33203125" style="1" bestFit="1" customWidth="1"/>
    <col min="36" max="36" width="10.109375" style="1" customWidth="1"/>
    <col min="37" max="39" width="9.44140625" style="1" customWidth="1"/>
    <col min="40" max="40" width="2.88671875" style="1" customWidth="1"/>
    <col min="41" max="41" width="8" style="1" customWidth="1"/>
    <col min="42" max="42" width="9.44140625" style="1" customWidth="1"/>
    <col min="43" max="45" width="9.44140625" style="103" customWidth="1"/>
    <col min="46" max="46" width="10.33203125" style="103" customWidth="1"/>
    <col min="47" max="47" width="9.33203125" style="1" customWidth="1"/>
    <col min="48" max="48" width="8.5546875" style="1" customWidth="1"/>
    <col min="49" max="56" width="9.109375" style="1" customWidth="1"/>
    <col min="57" max="16384" width="9.109375" style="1"/>
  </cols>
  <sheetData>
    <row r="1" spans="1:55" x14ac:dyDescent="0.25">
      <c r="A1" s="3"/>
      <c r="B1" s="3"/>
      <c r="C1" s="2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"/>
      <c r="O1" s="221"/>
      <c r="P1" s="221"/>
      <c r="Q1" s="221"/>
      <c r="R1" s="221"/>
      <c r="S1" s="221"/>
      <c r="T1" s="2"/>
      <c r="U1" s="221"/>
      <c r="V1" s="221"/>
      <c r="W1" s="221"/>
      <c r="X1" s="221"/>
      <c r="Y1" s="221"/>
      <c r="Z1" s="221"/>
      <c r="AA1" s="221"/>
      <c r="AB1" s="221"/>
      <c r="AC1" s="2"/>
      <c r="AE1" s="4"/>
      <c r="AO1" s="80">
        <f>IF(Inputs!F19+Inputs!F21+Inputs!F22+Inputs!F23+Inputs!F24=100%,1,0)</f>
        <v>1</v>
      </c>
    </row>
    <row r="2" spans="1:55" x14ac:dyDescent="0.25">
      <c r="A2" s="3"/>
      <c r="C2" s="5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5"/>
      <c r="O2" s="222"/>
      <c r="P2" s="222"/>
      <c r="Q2" s="221"/>
      <c r="R2" s="221"/>
      <c r="S2" s="221"/>
      <c r="T2" s="5"/>
      <c r="U2" s="221"/>
      <c r="V2" s="221"/>
      <c r="W2" s="221"/>
      <c r="X2" s="221"/>
      <c r="Y2" s="221"/>
      <c r="Z2" s="221"/>
      <c r="AA2" s="221"/>
      <c r="AB2" s="221"/>
      <c r="AC2" s="5"/>
      <c r="AE2" s="4"/>
    </row>
    <row r="3" spans="1:55" ht="12" customHeight="1" x14ac:dyDescent="0.3">
      <c r="C3" s="5"/>
      <c r="D3" s="61"/>
      <c r="E3" s="265" t="s">
        <v>36</v>
      </c>
      <c r="F3" s="266"/>
      <c r="G3" s="266"/>
      <c r="H3" s="266"/>
      <c r="I3" s="266"/>
      <c r="J3" s="266"/>
      <c r="K3" s="266"/>
      <c r="L3" s="266"/>
      <c r="M3" s="267"/>
      <c r="N3" s="91"/>
      <c r="O3" s="90" t="s">
        <v>78</v>
      </c>
      <c r="P3" s="46"/>
      <c r="Q3" s="88">
        <f>MAX(AQ12:AQ111)</f>
        <v>1</v>
      </c>
      <c r="R3" s="46"/>
      <c r="S3" s="46"/>
      <c r="T3" s="5"/>
      <c r="U3" s="221"/>
      <c r="V3" s="221"/>
      <c r="W3" s="221"/>
      <c r="X3" s="221"/>
      <c r="Y3" s="221"/>
      <c r="Z3" s="221"/>
      <c r="AA3" s="221"/>
      <c r="AB3" s="221"/>
      <c r="AC3" s="5"/>
      <c r="AE3" s="4"/>
      <c r="AN3" s="1">
        <v>14</v>
      </c>
      <c r="AO3" s="1">
        <f>SUM(AQ12:AQ111)</f>
        <v>1</v>
      </c>
    </row>
    <row r="4" spans="1:55" ht="13.8" x14ac:dyDescent="0.3">
      <c r="C4" s="5"/>
      <c r="D4" s="61"/>
      <c r="E4" s="98" t="s">
        <v>2</v>
      </c>
      <c r="F4" s="99" t="s">
        <v>3</v>
      </c>
      <c r="G4" s="61"/>
      <c r="H4" s="100" t="s">
        <v>6</v>
      </c>
      <c r="I4" s="61"/>
      <c r="J4" s="101" t="s">
        <v>8</v>
      </c>
      <c r="K4" s="61"/>
      <c r="L4" s="61"/>
      <c r="M4" s="102" t="s">
        <v>9</v>
      </c>
      <c r="N4" s="5"/>
      <c r="O4" s="86" t="s">
        <v>79</v>
      </c>
      <c r="P4" s="87"/>
      <c r="Q4" s="87"/>
      <c r="R4" s="143"/>
      <c r="S4" s="144">
        <f>SUM(AN12:AN1111)-1</f>
        <v>6</v>
      </c>
      <c r="T4" s="5"/>
      <c r="U4" s="77" t="s">
        <v>31</v>
      </c>
      <c r="V4" s="46"/>
      <c r="W4" s="46"/>
      <c r="X4" s="46"/>
      <c r="Y4" s="46"/>
      <c r="Z4" s="46"/>
      <c r="AA4" s="46"/>
      <c r="AB4" s="46"/>
      <c r="AC4" s="5"/>
      <c r="AE4" s="4"/>
    </row>
    <row r="5" spans="1:55" x14ac:dyDescent="0.25">
      <c r="A5" s="3"/>
      <c r="C5" s="5"/>
      <c r="D5" s="61"/>
      <c r="E5" s="75">
        <f>_min1</f>
        <v>0.08</v>
      </c>
      <c r="F5" s="76">
        <v>8.9700796006731309E-2</v>
      </c>
      <c r="G5" s="75"/>
      <c r="H5" s="75">
        <v>7.7293559766786091E-2</v>
      </c>
      <c r="I5" s="75"/>
      <c r="J5" s="76">
        <v>9.2176922900645941E-2</v>
      </c>
      <c r="K5" s="75"/>
      <c r="L5" s="75"/>
      <c r="M5" s="89">
        <v>0.46980792096968127</v>
      </c>
      <c r="N5" s="5"/>
      <c r="O5" s="217" t="s">
        <v>99</v>
      </c>
      <c r="P5" s="217"/>
      <c r="Q5" s="218">
        <f>SUM(AM12:AM111)</f>
        <v>14.042491875328007</v>
      </c>
      <c r="R5" s="217" t="s">
        <v>102</v>
      </c>
      <c r="S5" s="217"/>
      <c r="T5" s="5"/>
      <c r="U5" s="77" t="s">
        <v>29</v>
      </c>
      <c r="V5" s="46"/>
      <c r="W5" s="46"/>
      <c r="X5" s="46"/>
      <c r="Y5" s="46"/>
      <c r="Z5" s="46"/>
      <c r="AA5" s="46"/>
      <c r="AB5" s="46"/>
      <c r="AC5" s="5"/>
      <c r="AD5" s="3"/>
      <c r="AE5" s="6"/>
      <c r="AO5" s="1">
        <v>1</v>
      </c>
    </row>
    <row r="6" spans="1:55" ht="13.8" x14ac:dyDescent="0.3">
      <c r="A6" s="44"/>
      <c r="C6" s="27"/>
      <c r="D6" s="253" t="s">
        <v>35</v>
      </c>
      <c r="E6" s="254"/>
      <c r="F6" s="254"/>
      <c r="G6" s="254"/>
      <c r="H6" s="254"/>
      <c r="I6" s="254"/>
      <c r="J6" s="254"/>
      <c r="K6" s="254"/>
      <c r="L6" s="254"/>
      <c r="M6" s="254"/>
      <c r="N6" s="74"/>
      <c r="O6" s="255" t="s">
        <v>100</v>
      </c>
      <c r="P6" s="255"/>
      <c r="Q6" s="255"/>
      <c r="R6" s="255"/>
      <c r="S6" s="256"/>
      <c r="T6" s="92"/>
      <c r="U6" s="257" t="s">
        <v>101</v>
      </c>
      <c r="V6" s="255"/>
      <c r="W6" s="255"/>
      <c r="X6" s="255"/>
      <c r="Y6" s="255"/>
      <c r="Z6" s="255"/>
      <c r="AA6" s="255"/>
      <c r="AB6" s="256"/>
      <c r="AC6" s="43"/>
      <c r="AD6" s="44"/>
      <c r="AE6" s="4"/>
      <c r="AO6" s="1" t="s">
        <v>0</v>
      </c>
    </row>
    <row r="7" spans="1:55" x14ac:dyDescent="0.25">
      <c r="B7" s="9" t="s">
        <v>141</v>
      </c>
      <c r="C7" s="5"/>
      <c r="D7" s="61"/>
      <c r="E7" s="72" t="s">
        <v>2</v>
      </c>
      <c r="F7" s="47" t="s">
        <v>3</v>
      </c>
      <c r="G7" s="61"/>
      <c r="H7" s="39" t="s">
        <v>6</v>
      </c>
      <c r="I7" s="61"/>
      <c r="J7" s="49" t="s">
        <v>8</v>
      </c>
      <c r="K7" s="61"/>
      <c r="L7" s="61"/>
      <c r="M7" s="39" t="s">
        <v>9</v>
      </c>
      <c r="N7" s="5"/>
      <c r="O7" s="8" t="s">
        <v>2</v>
      </c>
      <c r="P7" s="47" t="s">
        <v>3</v>
      </c>
      <c r="Q7" s="9" t="s">
        <v>6</v>
      </c>
      <c r="R7" s="49" t="s">
        <v>8</v>
      </c>
      <c r="S7" s="9" t="s">
        <v>9</v>
      </c>
      <c r="T7" s="7"/>
      <c r="U7" s="260" t="s">
        <v>3</v>
      </c>
      <c r="V7" s="261"/>
      <c r="W7" s="251" t="s">
        <v>6</v>
      </c>
      <c r="X7" s="252"/>
      <c r="Y7" s="258" t="s">
        <v>8</v>
      </c>
      <c r="Z7" s="259"/>
      <c r="AA7" s="251" t="s">
        <v>9</v>
      </c>
      <c r="AB7" s="252"/>
      <c r="AC7" s="7"/>
      <c r="AE7" s="45"/>
      <c r="AO7" s="1" t="s">
        <v>1</v>
      </c>
    </row>
    <row r="8" spans="1:55" x14ac:dyDescent="0.25">
      <c r="B8" s="60" t="s">
        <v>139</v>
      </c>
      <c r="C8" s="5"/>
      <c r="D8" s="61"/>
      <c r="E8" s="41" t="s">
        <v>21</v>
      </c>
      <c r="F8" s="48" t="s">
        <v>11</v>
      </c>
      <c r="G8" s="61"/>
      <c r="H8" s="25" t="s">
        <v>22</v>
      </c>
      <c r="I8" s="61"/>
      <c r="J8" s="50" t="s">
        <v>24</v>
      </c>
      <c r="K8" s="61"/>
      <c r="L8" s="61"/>
      <c r="M8" s="25" t="s">
        <v>33</v>
      </c>
      <c r="N8" s="5"/>
      <c r="O8" s="38" t="s">
        <v>21</v>
      </c>
      <c r="P8" s="48" t="s">
        <v>11</v>
      </c>
      <c r="Q8" s="10" t="s">
        <v>22</v>
      </c>
      <c r="R8" s="50" t="s">
        <v>24</v>
      </c>
      <c r="S8" s="10" t="s">
        <v>33</v>
      </c>
      <c r="T8" s="5"/>
      <c r="U8" s="268" t="s">
        <v>11</v>
      </c>
      <c r="V8" s="269"/>
      <c r="W8" s="243" t="s">
        <v>22</v>
      </c>
      <c r="X8" s="244"/>
      <c r="Y8" s="241" t="s">
        <v>24</v>
      </c>
      <c r="Z8" s="242"/>
      <c r="AA8" s="243" t="s">
        <v>26</v>
      </c>
      <c r="AB8" s="244"/>
      <c r="AC8" s="5"/>
    </row>
    <row r="9" spans="1:55" x14ac:dyDescent="0.25">
      <c r="A9" s="3"/>
      <c r="B9" s="9" t="s">
        <v>140</v>
      </c>
      <c r="C9" s="5"/>
      <c r="D9" s="63"/>
      <c r="E9" s="55" t="s">
        <v>30</v>
      </c>
      <c r="F9" s="70"/>
      <c r="G9" s="61"/>
      <c r="H9" s="55" t="s">
        <v>23</v>
      </c>
      <c r="I9" s="61"/>
      <c r="J9" s="71" t="s">
        <v>25</v>
      </c>
      <c r="K9" s="61"/>
      <c r="L9" s="61"/>
      <c r="M9" s="55" t="s">
        <v>25</v>
      </c>
      <c r="N9" s="5"/>
      <c r="O9" s="55" t="s">
        <v>30</v>
      </c>
      <c r="P9" s="48"/>
      <c r="Q9" s="25" t="s">
        <v>23</v>
      </c>
      <c r="R9" s="50" t="s">
        <v>25</v>
      </c>
      <c r="S9" s="55" t="s">
        <v>25</v>
      </c>
      <c r="T9" s="7"/>
      <c r="U9" s="268"/>
      <c r="V9" s="269"/>
      <c r="W9" s="245" t="s">
        <v>28</v>
      </c>
      <c r="X9" s="246"/>
      <c r="Y9" s="241" t="s">
        <v>25</v>
      </c>
      <c r="Z9" s="242"/>
      <c r="AA9" s="245" t="s">
        <v>25</v>
      </c>
      <c r="AB9" s="246"/>
      <c r="AC9" s="7"/>
      <c r="AD9" s="3"/>
      <c r="AO9" s="1" t="s">
        <v>3</v>
      </c>
    </row>
    <row r="10" spans="1:55" x14ac:dyDescent="0.25">
      <c r="B10" s="9" t="s">
        <v>142</v>
      </c>
      <c r="C10" s="43"/>
      <c r="D10" s="64"/>
      <c r="E10" s="56" t="s">
        <v>32</v>
      </c>
      <c r="F10" s="53"/>
      <c r="G10" s="62"/>
      <c r="H10" s="56"/>
      <c r="I10" s="62"/>
      <c r="J10" s="54"/>
      <c r="K10" s="62"/>
      <c r="L10" s="62"/>
      <c r="M10" s="56" t="s">
        <v>34</v>
      </c>
      <c r="N10" s="51"/>
      <c r="O10" s="56" t="s">
        <v>32</v>
      </c>
      <c r="P10" s="53"/>
      <c r="Q10" s="52"/>
      <c r="R10" s="54"/>
      <c r="S10" s="56" t="s">
        <v>34</v>
      </c>
      <c r="T10" s="43"/>
      <c r="U10" s="262" t="s">
        <v>27</v>
      </c>
      <c r="V10" s="263"/>
      <c r="W10" s="249" t="s">
        <v>27</v>
      </c>
      <c r="X10" s="264"/>
      <c r="Y10" s="247" t="s">
        <v>27</v>
      </c>
      <c r="Z10" s="248"/>
      <c r="AA10" s="249" t="s">
        <v>27</v>
      </c>
      <c r="AB10" s="250"/>
      <c r="AC10" s="43"/>
      <c r="AD10" s="42" t="s">
        <v>20</v>
      </c>
      <c r="AO10" s="1" t="s">
        <v>6</v>
      </c>
      <c r="AQ10" s="146"/>
      <c r="AR10" s="145" t="s">
        <v>67</v>
      </c>
      <c r="AS10" s="145" t="s">
        <v>68</v>
      </c>
      <c r="AT10" s="145" t="s">
        <v>68</v>
      </c>
      <c r="AU10" s="215" t="s">
        <v>157</v>
      </c>
      <c r="AV10" s="240" t="s">
        <v>63</v>
      </c>
      <c r="AW10" s="240"/>
      <c r="AX10" s="1" t="s">
        <v>64</v>
      </c>
      <c r="AZ10" s="239" t="s">
        <v>65</v>
      </c>
      <c r="BA10" s="239"/>
      <c r="BB10" s="239" t="s">
        <v>66</v>
      </c>
      <c r="BC10" s="239"/>
    </row>
    <row r="11" spans="1:55" ht="14.25" customHeight="1" x14ac:dyDescent="0.25">
      <c r="A11" s="195" t="s">
        <v>20</v>
      </c>
      <c r="B11" s="39" t="s">
        <v>143</v>
      </c>
      <c r="C11" s="7"/>
      <c r="D11" s="61"/>
      <c r="E11" s="57"/>
      <c r="F11" s="57"/>
      <c r="G11" s="59"/>
      <c r="H11" s="59"/>
      <c r="I11" s="59"/>
      <c r="J11" s="59"/>
      <c r="K11" s="59"/>
      <c r="L11" s="59"/>
      <c r="M11" s="59"/>
      <c r="N11" s="7"/>
      <c r="O11" s="57"/>
      <c r="P11" s="57"/>
      <c r="Q11" s="57"/>
      <c r="R11" s="57"/>
      <c r="S11" s="58"/>
      <c r="T11" s="5"/>
      <c r="U11" s="40" t="s">
        <v>2</v>
      </c>
      <c r="V11" s="25" t="s">
        <v>6</v>
      </c>
      <c r="W11" s="39" t="s">
        <v>2</v>
      </c>
      <c r="X11" s="25" t="s">
        <v>3</v>
      </c>
      <c r="Y11" s="39" t="s">
        <v>2</v>
      </c>
      <c r="Z11" s="25" t="s">
        <v>3</v>
      </c>
      <c r="AA11" s="39" t="s">
        <v>2</v>
      </c>
      <c r="AB11" s="41" t="s">
        <v>3</v>
      </c>
      <c r="AC11" s="5"/>
      <c r="AD11" s="39" t="s">
        <v>20</v>
      </c>
      <c r="AO11" s="1" t="s">
        <v>8</v>
      </c>
      <c r="AQ11" s="146"/>
      <c r="AR11" s="145" t="s">
        <v>74</v>
      </c>
      <c r="AS11" s="145" t="s">
        <v>69</v>
      </c>
      <c r="AT11" s="145" t="s">
        <v>70</v>
      </c>
      <c r="AW11" s="1" t="s">
        <v>71</v>
      </c>
      <c r="AY11" s="1" t="s">
        <v>71</v>
      </c>
      <c r="BA11" s="1" t="s">
        <v>71</v>
      </c>
      <c r="BC11" s="1" t="s">
        <v>71</v>
      </c>
    </row>
    <row r="12" spans="1:55" x14ac:dyDescent="0.25">
      <c r="A12" s="31">
        <v>0</v>
      </c>
      <c r="B12" s="141">
        <f>(prepen1*(1+rinf)^A12/100000)-(pension/100000)-(income*(1+incrate)^A12/100000)</f>
        <v>12</v>
      </c>
      <c r="C12" s="34"/>
      <c r="D12" s="68"/>
      <c r="E12" s="69"/>
      <c r="F12" s="69"/>
      <c r="G12" s="69"/>
      <c r="H12" s="69"/>
      <c r="I12" s="69"/>
      <c r="J12" s="69"/>
      <c r="K12" s="69"/>
      <c r="L12" s="68"/>
      <c r="M12" s="69"/>
      <c r="N12" s="34"/>
      <c r="O12" s="32">
        <f>ROUND(Inputs!F19*Inputs!B20,0)/100000</f>
        <v>75</v>
      </c>
      <c r="P12" s="32">
        <f>ROUND(Inputs!F21*Inputs!B20,0)/100000</f>
        <v>15</v>
      </c>
      <c r="Q12" s="32">
        <f>ROUND(Inputs!B20*Inputs!F22,0)/100000</f>
        <v>30</v>
      </c>
      <c r="R12" s="32">
        <f>ROUND(Inputs!B20*Inputs!F23,0)/100000</f>
        <v>15</v>
      </c>
      <c r="S12" s="33">
        <f>ROUND(Inputs!F24*Inputs!B20,0)/100000</f>
        <v>15</v>
      </c>
      <c r="T12" s="35"/>
      <c r="U12" s="229"/>
      <c r="V12" s="32"/>
      <c r="W12" s="32"/>
      <c r="X12" s="32"/>
      <c r="Y12" s="32"/>
      <c r="Z12" s="32"/>
      <c r="AA12" s="32"/>
      <c r="AB12" s="33"/>
      <c r="AC12" s="35"/>
      <c r="AD12" s="31">
        <v>0</v>
      </c>
      <c r="AE12" s="28"/>
      <c r="AF12" s="29"/>
      <c r="AG12" s="3"/>
      <c r="AH12" s="24"/>
      <c r="AO12" s="1" t="s">
        <v>9</v>
      </c>
      <c r="AQ12" s="146"/>
      <c r="AR12" s="220">
        <f>Inputs!B20/100000</f>
        <v>150</v>
      </c>
      <c r="AS12" s="220">
        <f>(Inputs!B20)/100000</f>
        <v>150</v>
      </c>
      <c r="AT12" s="220">
        <f>Inputs!B20/100000</f>
        <v>150</v>
      </c>
      <c r="AU12" s="1">
        <f>(Inputs!B20)/100000</f>
        <v>150</v>
      </c>
      <c r="AV12" s="24">
        <v>1</v>
      </c>
      <c r="AX12" s="1">
        <v>1</v>
      </c>
      <c r="AZ12" s="1">
        <v>1</v>
      </c>
      <c r="BB12" s="1">
        <v>1</v>
      </c>
    </row>
    <row r="13" spans="1:55" x14ac:dyDescent="0.25">
      <c r="A13" s="25">
        <f t="shared" ref="A13:A77" si="0">A12+1</f>
        <v>1</v>
      </c>
      <c r="B13" s="230">
        <f t="shared" ref="B13:B44" si="1">(prepen1*(1+rinf)^(A13-1)/100000)-(pension/100000)-(income*(1+incrate)^(A13-1)/100000)</f>
        <v>12</v>
      </c>
      <c r="C13" s="238"/>
      <c r="D13" s="231">
        <f t="shared" ref="D13:D44" si="2">IF(E13&lt;&gt;"",E13,_min1)</f>
        <v>0.08</v>
      </c>
      <c r="E13" s="232">
        <v>0.08</v>
      </c>
      <c r="F13" s="232">
        <v>8.9700796006731309E-2</v>
      </c>
      <c r="G13" s="232">
        <f t="shared" ref="G13:G44" ca="1" si="3">IF(F13&lt;&gt;"",F13,NORMINV(RAND(),mean2,stdev2))</f>
        <v>8.9700796006731309E-2</v>
      </c>
      <c r="H13" s="232">
        <v>7.7293559766786021E-2</v>
      </c>
      <c r="I13" s="232">
        <f t="shared" ref="I13:I44" ca="1" si="4">IF(H13&lt;&gt;"",H13,NORMINV(RAND(),mean3,stdev3))</f>
        <v>7.7293559766786021E-2</v>
      </c>
      <c r="J13" s="232">
        <v>9.2176922900645969E-2</v>
      </c>
      <c r="K13" s="232">
        <f t="shared" ref="K13:K44" ca="1" si="5">IF(J13&lt;&gt;"",J13,NORMINV(RAND(),mean4,stdev4))</f>
        <v>9.2176922900645969E-2</v>
      </c>
      <c r="L13" s="231">
        <f t="shared" ref="L13:L44" ca="1" si="6">IF(M13&lt;&gt;"",M13,NORMINV(RAND(),mean5,stdev5))</f>
        <v>0.46980792096968138</v>
      </c>
      <c r="M13" s="232">
        <v>0.46980792096968138</v>
      </c>
      <c r="N13" s="238"/>
      <c r="O13" s="233">
        <f>ROUND((O12-B13+U12+W12+Y12+AA12)*(1+D13),0)</f>
        <v>68</v>
      </c>
      <c r="P13" s="233">
        <f>ROUND((P12-U12-V12+IF(trans3="bucket 2",X12)+IF(trans4="bucket 2",Z12)+IF(trans5="bucket 2",AB12))*(1+F13),0)</f>
        <v>16</v>
      </c>
      <c r="Q13" s="233">
        <f t="shared" ref="Q13:Q44" si="7">ROUND((Q12-W12-X12+IF(trans2="bucket 3",V12)+IF(trans4="bucket 3",Z12)+IF(trans5="bucket 3",AB12))*(1+H13),0)</f>
        <v>32</v>
      </c>
      <c r="R13" s="233">
        <f t="shared" ref="R13:R44" si="8">ROUND((R12-Y12-Z12+IF(trans2="bucket 4",V12)+IF(trans3="bucket 4",X12)+IF(trans5="bucket 4",AB12))*(1+J13),0)</f>
        <v>16</v>
      </c>
      <c r="S13" s="234">
        <f t="shared" ref="S13:S44" si="9">ROUND((S12-AA12-AB12+IF(trans2="bucket 5",V12)+IF(trans3="bucket 5",X12)+IF(trans4="bucket 5",Z12))*(1+M13),0)</f>
        <v>22</v>
      </c>
      <c r="T13" s="235"/>
      <c r="U13" s="236"/>
      <c r="V13" s="236"/>
      <c r="W13" s="233"/>
      <c r="X13" s="233"/>
      <c r="Y13" s="233"/>
      <c r="Z13" s="233"/>
      <c r="AA13" s="233"/>
      <c r="AB13" s="233"/>
      <c r="AC13" s="235"/>
      <c r="AD13" s="25">
        <f t="shared" ref="AD13:AD77" si="10">AD12+1</f>
        <v>1</v>
      </c>
      <c r="AE13" s="28"/>
      <c r="AF13" s="29"/>
      <c r="AG13" s="3"/>
      <c r="AH13" s="24"/>
      <c r="AL13" s="1">
        <f>(1+alloc1*Simulator!E13+alloc2*Simulator!F13+alloc3*Simulator!H13+alloc4*Simulator!J13+alloc5*Simulator!M13)</f>
        <v>1.1206272759410629</v>
      </c>
      <c r="AM13" s="1">
        <f>IF(O13&lt;0,B13-O12,0)</f>
        <v>0</v>
      </c>
      <c r="AN13" s="12">
        <f>IF(AM13&lt;&gt;0,A13,0)</f>
        <v>0</v>
      </c>
      <c r="AP13" s="84"/>
      <c r="AQ13" s="146">
        <v>1</v>
      </c>
      <c r="AR13" s="220">
        <f>IF(AQ13&lt;&gt;0,IF(SUM(O13:S13)&lt;0,NA(),SUM(O13:S13)),NA())</f>
        <v>154</v>
      </c>
      <c r="AS13" s="220">
        <f t="shared" ref="AS13:AS44" si="11">IF(AQ13&lt;&gt;0,IF(AS12- B13&lt;0,NA(),(AS12-B13)*(1+retroi)),NA())</f>
        <v>149.04000000000002</v>
      </c>
      <c r="AT13" s="220">
        <f>IF(AQ13&lt;&gt;0,IF((AT12-B13)*(1+alloc1*Simulator!E13+alloc2*Simulator!F13+alloc3*Simulator!H13+alloc4*Simulator!J13+alloc5*Simulator!M13)&lt;0,NA(),(AT12-B13)*(1+alloc1*Simulator!E13+alloc2*Simulator!F13+alloc3*Simulator!H13+alloc4*Simulator!J13+alloc5*Simulator!M13)),NA())</f>
        <v>154.64656407986669</v>
      </c>
      <c r="AU13" s="1">
        <f t="shared" ref="AU13:AU44" si="12">IF(AQ13&lt;&gt;0,IF(AU12-B13&lt;0,NA(),(AU12-B13)*(1+retroi)),NA())</f>
        <v>149.04000000000002</v>
      </c>
      <c r="AV13" s="83">
        <f>AV12*(1+F13)</f>
        <v>1.0897007960067313</v>
      </c>
      <c r="AW13" s="85">
        <f t="shared" ref="AW13:AW77" si="13">(AV13/$AV$12)^(1/AQ13)-1</f>
        <v>8.9700796006731309E-2</v>
      </c>
      <c r="AX13" s="1">
        <f>AX12*(1+H13)</f>
        <v>1.0772935597667861</v>
      </c>
      <c r="AY13" s="85">
        <f>(AX13/$AX$12)^(1/AQ13)-1</f>
        <v>7.7293559766786091E-2</v>
      </c>
      <c r="AZ13" s="1">
        <f>AZ12*(1+J13)</f>
        <v>1.0921769229006459</v>
      </c>
      <c r="BA13" s="85">
        <f>(AZ13/$AZ$12)^(1/AQ13)-1</f>
        <v>9.2176922900645941E-2</v>
      </c>
      <c r="BB13" s="1">
        <f>BB12*(1+M13)</f>
        <v>1.4698079209696813</v>
      </c>
      <c r="BC13" s="85">
        <f>(BB13/$BB$12)^(1/AQ13)-1</f>
        <v>0.46980792096968127</v>
      </c>
    </row>
    <row r="14" spans="1:55" hidden="1" x14ac:dyDescent="0.25">
      <c r="A14" s="104">
        <f t="shared" si="0"/>
        <v>2</v>
      </c>
      <c r="B14" s="142">
        <f t="shared" si="1"/>
        <v>12.96</v>
      </c>
      <c r="C14" s="27"/>
      <c r="D14" s="105">
        <f t="shared" si="2"/>
        <v>0.08</v>
      </c>
      <c r="E14" s="67">
        <v>0.08</v>
      </c>
      <c r="F14" s="67">
        <v>9.7454057536798006E-2</v>
      </c>
      <c r="G14" s="67">
        <f t="shared" ca="1" si="3"/>
        <v>9.7454057536798006E-2</v>
      </c>
      <c r="H14" s="67">
        <v>0.17120044004782187</v>
      </c>
      <c r="I14" s="67">
        <f t="shared" ca="1" si="4"/>
        <v>0.17120044004782187</v>
      </c>
      <c r="J14" s="67">
        <v>-0.2185246715521395</v>
      </c>
      <c r="K14" s="67">
        <f t="shared" ca="1" si="5"/>
        <v>-0.2185246715521395</v>
      </c>
      <c r="L14" s="105">
        <f t="shared" ca="1" si="6"/>
        <v>-4.3420306991947211E-2</v>
      </c>
      <c r="M14" s="67">
        <v>-4.3420306991947211E-2</v>
      </c>
      <c r="N14" s="27"/>
      <c r="O14" s="26">
        <f t="shared" ref="O14:O77" si="14">ROUND((O13-B14+U13+W13+Y13+AA13)*(1+D14),0)</f>
        <v>59</v>
      </c>
      <c r="P14" s="26">
        <f t="shared" ref="P14:P44" si="15">ROUND((P13-U13-V13+IF(trans3="bucket 2",X13)+IF(trans4="bucket 2",Z13)+IF(trans5="bucket 2",AB13))*(1+F14),0)</f>
        <v>18</v>
      </c>
      <c r="Q14" s="26">
        <f t="shared" si="7"/>
        <v>37</v>
      </c>
      <c r="R14" s="26">
        <f t="shared" si="8"/>
        <v>13</v>
      </c>
      <c r="S14" s="36">
        <f t="shared" si="9"/>
        <v>21</v>
      </c>
      <c r="T14" s="73"/>
      <c r="U14" s="78"/>
      <c r="V14" s="78"/>
      <c r="W14" s="26"/>
      <c r="X14" s="26"/>
      <c r="Y14" s="26"/>
      <c r="Z14" s="26"/>
      <c r="AA14" s="26"/>
      <c r="AB14" s="26"/>
      <c r="AC14" s="73"/>
      <c r="AD14" s="104">
        <f t="shared" si="10"/>
        <v>2</v>
      </c>
      <c r="AE14" s="28"/>
      <c r="AF14" s="29"/>
      <c r="AG14" s="3"/>
      <c r="AH14" s="24"/>
      <c r="AL14" s="219">
        <f>(1+alloc1*Simulator!E14+alloc2*Simulator!F14+alloc3*Simulator!H14+alloc4*Simulator!J14+alloc5*Simulator!M14)</f>
        <v>1.0577909959088354</v>
      </c>
      <c r="AM14" s="215">
        <f>IF(SUM($AM$13:AM13)&lt;&gt;0,0,IF(O14&lt;0,B14-O13,0))</f>
        <v>0</v>
      </c>
      <c r="AN14" s="12">
        <f t="shared" ref="AN14:AN77" si="16">IF(AM14&lt;&gt;0,A14,0)</f>
        <v>0</v>
      </c>
      <c r="AQ14" s="146"/>
      <c r="AR14" s="220" t="e">
        <f t="shared" ref="AR14:AR19" si="17">IF(AQ14&lt;&gt;0,IF(SUM(O14:S14)&lt;0,NA(),SUM(O14:S14)),NA())</f>
        <v>#N/A</v>
      </c>
      <c r="AS14" s="220" t="e">
        <f t="shared" si="11"/>
        <v>#N/A</v>
      </c>
      <c r="AT14" s="220" t="e">
        <f>IF(AQ14&lt;&gt;0,IF((AT13-B14)*(1+alloc1*Simulator!E14+alloc2*Simulator!F14+alloc3*Simulator!H14+alloc4*Simulator!J14+alloc5*Simulator!M14)&lt;0,NA(),(AT13-B14)*(1+alloc1*Simulator!E14+alloc2*Simulator!F14+alloc3*Simulator!H14+alloc4*Simulator!J14+alloc5*Simulator!M14)),NA())</f>
        <v>#N/A</v>
      </c>
      <c r="AU14" s="219" t="e">
        <f t="shared" si="12"/>
        <v>#N/A</v>
      </c>
      <c r="AV14" s="83">
        <f t="shared" ref="AV14:AV77" si="18">AV13*(1+F14)</f>
        <v>1.1958965600786657</v>
      </c>
      <c r="AW14" s="85" t="e">
        <f t="shared" si="13"/>
        <v>#DIV/0!</v>
      </c>
      <c r="AX14" s="1">
        <f t="shared" ref="AX14:AX77" si="19">AX13*(1+H14)</f>
        <v>1.2617266912595444</v>
      </c>
      <c r="AY14" s="85" t="e">
        <f t="shared" ref="AY14:AY77" si="20">(AX14/$AX$12)^(1/AQ14)-1</f>
        <v>#DIV/0!</v>
      </c>
      <c r="AZ14" s="1">
        <f t="shared" ref="AZ14:AZ77" si="21">AZ13*(1+J14)</f>
        <v>0.85350931954695586</v>
      </c>
      <c r="BA14" s="85" t="e">
        <f t="shared" ref="BA14:BA77" si="22">(AZ14/$AZ$12)^(1/AQ14)-1</f>
        <v>#DIV/0!</v>
      </c>
      <c r="BB14" s="1">
        <f t="shared" ref="BB14:BB77" si="23">BB13*(1+M14)</f>
        <v>1.4059884098219819</v>
      </c>
      <c r="BC14" s="85" t="e">
        <f t="shared" ref="BC14:BC77" si="24">(BB14/$BB$12)^(1/AQ14)-1</f>
        <v>#DIV/0!</v>
      </c>
    </row>
    <row r="15" spans="1:55" hidden="1" x14ac:dyDescent="0.25">
      <c r="A15" s="104">
        <f t="shared" si="0"/>
        <v>3</v>
      </c>
      <c r="B15" s="142">
        <f t="shared" si="1"/>
        <v>13.996800000000002</v>
      </c>
      <c r="C15" s="27"/>
      <c r="D15" s="105">
        <f t="shared" si="2"/>
        <v>0.08</v>
      </c>
      <c r="E15" s="67">
        <v>0.08</v>
      </c>
      <c r="F15" s="67">
        <v>0.12621513810919324</v>
      </c>
      <c r="G15" s="67">
        <f t="shared" ca="1" si="3"/>
        <v>0.12621513810919324</v>
      </c>
      <c r="H15" s="67">
        <v>0.22800988474241396</v>
      </c>
      <c r="I15" s="67">
        <f t="shared" ca="1" si="4"/>
        <v>0.22800988474241396</v>
      </c>
      <c r="J15" s="67">
        <v>0.3555484643934223</v>
      </c>
      <c r="K15" s="67">
        <f t="shared" ca="1" si="5"/>
        <v>0.3555484643934223</v>
      </c>
      <c r="L15" s="105">
        <f t="shared" ca="1" si="6"/>
        <v>-4.3634560290316149E-2</v>
      </c>
      <c r="M15" s="67">
        <v>-4.3634560290316149E-2</v>
      </c>
      <c r="N15" s="27"/>
      <c r="O15" s="26">
        <f t="shared" si="14"/>
        <v>49</v>
      </c>
      <c r="P15" s="26">
        <f t="shared" si="15"/>
        <v>20</v>
      </c>
      <c r="Q15" s="26">
        <f t="shared" si="7"/>
        <v>45</v>
      </c>
      <c r="R15" s="26">
        <f t="shared" si="8"/>
        <v>18</v>
      </c>
      <c r="S15" s="36">
        <f t="shared" si="9"/>
        <v>20</v>
      </c>
      <c r="T15" s="73"/>
      <c r="U15" s="78"/>
      <c r="V15" s="78"/>
      <c r="W15" s="26"/>
      <c r="X15" s="26"/>
      <c r="Y15" s="26"/>
      <c r="Z15" s="26"/>
      <c r="AA15" s="26"/>
      <c r="AB15" s="26"/>
      <c r="AC15" s="73"/>
      <c r="AD15" s="104">
        <f t="shared" si="10"/>
        <v>3</v>
      </c>
      <c r="AE15" s="28"/>
      <c r="AF15" s="29"/>
      <c r="AG15" s="3"/>
      <c r="AL15" s="219">
        <f>(1+alloc1*Simulator!E15+alloc2*Simulator!F15+alloc3*Simulator!H15+alloc4*Simulator!J15+alloc5*Simulator!M15)</f>
        <v>1.1294148811697129</v>
      </c>
      <c r="AM15" s="215">
        <f>IF(SUM($AM$13:AM14)&lt;&gt;0,0,IF(O15&lt;0,B15-O14,0))</f>
        <v>0</v>
      </c>
      <c r="AN15" s="12">
        <f t="shared" si="16"/>
        <v>0</v>
      </c>
      <c r="AO15" s="1" t="s">
        <v>3</v>
      </c>
      <c r="AQ15" s="146"/>
      <c r="AR15" s="220" t="e">
        <f t="shared" si="17"/>
        <v>#N/A</v>
      </c>
      <c r="AS15" s="220" t="e">
        <f t="shared" si="11"/>
        <v>#N/A</v>
      </c>
      <c r="AT15" s="220" t="e">
        <f>IF(AQ15&lt;&gt;0,IF((AT14-B15)*(1+alloc1*Simulator!E15+alloc2*Simulator!F15+alloc3*Simulator!H15+alloc4*Simulator!J15+alloc5*Simulator!M15)&lt;0,NA(),(AT14-B15)*(1+alloc1*Simulator!E15+alloc2*Simulator!F15+alloc3*Simulator!H15+alloc4*Simulator!J15+alloc5*Simulator!M15)),NA())</f>
        <v>#N/A</v>
      </c>
      <c r="AU15" s="219" t="e">
        <f t="shared" si="12"/>
        <v>#N/A</v>
      </c>
      <c r="AV15" s="83">
        <f t="shared" si="18"/>
        <v>1.3468368095733037</v>
      </c>
      <c r="AW15" s="85" t="e">
        <f t="shared" si="13"/>
        <v>#DIV/0!</v>
      </c>
      <c r="AX15" s="1">
        <f t="shared" si="19"/>
        <v>1.5494128487100605</v>
      </c>
      <c r="AY15" s="85" t="e">
        <f t="shared" si="20"/>
        <v>#DIV/0!</v>
      </c>
      <c r="AZ15" s="1">
        <f t="shared" si="21"/>
        <v>1.1569732474573509</v>
      </c>
      <c r="BA15" s="85" t="e">
        <f t="shared" si="22"/>
        <v>#DIV/0!</v>
      </c>
      <c r="BB15" s="1">
        <f t="shared" si="23"/>
        <v>1.344638723786119</v>
      </c>
      <c r="BC15" s="85" t="e">
        <f t="shared" si="24"/>
        <v>#DIV/0!</v>
      </c>
    </row>
    <row r="16" spans="1:55" hidden="1" x14ac:dyDescent="0.25">
      <c r="A16" s="104">
        <f t="shared" si="0"/>
        <v>4</v>
      </c>
      <c r="B16" s="142">
        <f t="shared" si="1"/>
        <v>15.116544000000001</v>
      </c>
      <c r="C16" s="27"/>
      <c r="D16" s="105">
        <f t="shared" si="2"/>
        <v>0.08</v>
      </c>
      <c r="E16" s="67">
        <v>0.08</v>
      </c>
      <c r="F16" s="67">
        <v>0.1381708850102871</v>
      </c>
      <c r="G16" s="67">
        <f t="shared" ca="1" si="3"/>
        <v>0.1381708850102871</v>
      </c>
      <c r="H16" s="67">
        <v>0.13923090103038105</v>
      </c>
      <c r="I16" s="67">
        <f t="shared" ca="1" si="4"/>
        <v>0.13923090103038105</v>
      </c>
      <c r="J16" s="67">
        <v>0.37183350357700717</v>
      </c>
      <c r="K16" s="67">
        <f t="shared" ca="1" si="5"/>
        <v>0.37183350357700717</v>
      </c>
      <c r="L16" s="105">
        <f t="shared" ca="1" si="6"/>
        <v>8.2946081539419333E-2</v>
      </c>
      <c r="M16" s="67">
        <v>8.2946081539419333E-2</v>
      </c>
      <c r="N16" s="27"/>
      <c r="O16" s="26">
        <f t="shared" si="14"/>
        <v>37</v>
      </c>
      <c r="P16" s="26">
        <f t="shared" si="15"/>
        <v>23</v>
      </c>
      <c r="Q16" s="26">
        <f t="shared" si="7"/>
        <v>51</v>
      </c>
      <c r="R16" s="26">
        <f t="shared" si="8"/>
        <v>25</v>
      </c>
      <c r="S16" s="36">
        <f t="shared" si="9"/>
        <v>22</v>
      </c>
      <c r="T16" s="73"/>
      <c r="U16" s="78"/>
      <c r="V16" s="78"/>
      <c r="W16" s="26"/>
      <c r="X16" s="26"/>
      <c r="Y16" s="26"/>
      <c r="Z16" s="26"/>
      <c r="AA16" s="26"/>
      <c r="AB16" s="26"/>
      <c r="AC16" s="73"/>
      <c r="AD16" s="104">
        <f t="shared" si="10"/>
        <v>4</v>
      </c>
      <c r="AE16" s="28"/>
      <c r="AF16" s="3"/>
      <c r="AG16" s="3"/>
      <c r="AL16" s="219">
        <f>(1+alloc1*Simulator!E16+alloc2*Simulator!F16+alloc3*Simulator!H16+alloc4*Simulator!J16+alloc5*Simulator!M16)</f>
        <v>1.1271412272187475</v>
      </c>
      <c r="AM16" s="215">
        <f>IF(SUM($AM$13:AM15)&lt;&gt;0,0,IF(O16&lt;0,B16-O15,0))</f>
        <v>0</v>
      </c>
      <c r="AN16" s="12">
        <f t="shared" si="16"/>
        <v>0</v>
      </c>
      <c r="AO16" s="1" t="s">
        <v>8</v>
      </c>
      <c r="AQ16" s="146"/>
      <c r="AR16" s="220" t="e">
        <f t="shared" si="17"/>
        <v>#N/A</v>
      </c>
      <c r="AS16" s="220" t="e">
        <f t="shared" si="11"/>
        <v>#N/A</v>
      </c>
      <c r="AT16" s="220" t="e">
        <f>IF(AQ16&lt;&gt;0,IF((AT15-B16)*(1+alloc1*Simulator!E16+alloc2*Simulator!F16+alloc3*Simulator!H16+alloc4*Simulator!J16+alloc5*Simulator!M16)&lt;0,NA(),(AT15-B16)*(1+alloc1*Simulator!E16+alloc2*Simulator!F16+alloc3*Simulator!H16+alloc4*Simulator!J16+alloc5*Simulator!M16)),NA())</f>
        <v>#N/A</v>
      </c>
      <c r="AU16" s="219" t="e">
        <f t="shared" si="12"/>
        <v>#N/A</v>
      </c>
      <c r="AV16" s="83">
        <f t="shared" si="18"/>
        <v>1.5329304435164786</v>
      </c>
      <c r="AW16" s="85" t="e">
        <f t="shared" si="13"/>
        <v>#DIV/0!</v>
      </c>
      <c r="AX16" s="1">
        <f t="shared" si="19"/>
        <v>1.7651389957040116</v>
      </c>
      <c r="AY16" s="85" t="e">
        <f t="shared" si="20"/>
        <v>#DIV/0!</v>
      </c>
      <c r="AZ16" s="1">
        <f t="shared" si="21"/>
        <v>1.5871746636042854</v>
      </c>
      <c r="BA16" s="85" t="e">
        <f t="shared" si="22"/>
        <v>#DIV/0!</v>
      </c>
      <c r="BB16" s="1">
        <f t="shared" si="23"/>
        <v>1.4561712370103432</v>
      </c>
      <c r="BC16" s="85" t="e">
        <f t="shared" si="24"/>
        <v>#DIV/0!</v>
      </c>
    </row>
    <row r="17" spans="1:55" hidden="1" x14ac:dyDescent="0.25">
      <c r="A17" s="104">
        <f t="shared" si="0"/>
        <v>5</v>
      </c>
      <c r="B17" s="142">
        <f t="shared" si="1"/>
        <v>16.325867520000003</v>
      </c>
      <c r="C17" s="27"/>
      <c r="D17" s="105">
        <f t="shared" si="2"/>
        <v>0.08</v>
      </c>
      <c r="E17" s="67">
        <v>0.08</v>
      </c>
      <c r="F17" s="67">
        <v>0.10794918893989668</v>
      </c>
      <c r="G17" s="67">
        <f t="shared" ca="1" si="3"/>
        <v>0.10794918893989668</v>
      </c>
      <c r="H17" s="67">
        <v>0.11805056546245048</v>
      </c>
      <c r="I17" s="67">
        <f t="shared" ca="1" si="4"/>
        <v>0.11805056546245048</v>
      </c>
      <c r="J17" s="67">
        <v>0.27221524855014023</v>
      </c>
      <c r="K17" s="67">
        <f t="shared" ca="1" si="5"/>
        <v>0.27221524855014023</v>
      </c>
      <c r="L17" s="105">
        <f t="shared" ca="1" si="6"/>
        <v>0.1201796684881863</v>
      </c>
      <c r="M17" s="67">
        <v>0.1201796684881863</v>
      </c>
      <c r="N17" s="27"/>
      <c r="O17" s="26">
        <f t="shared" si="14"/>
        <v>22</v>
      </c>
      <c r="P17" s="26">
        <f t="shared" si="15"/>
        <v>25</v>
      </c>
      <c r="Q17" s="26">
        <f t="shared" si="7"/>
        <v>57</v>
      </c>
      <c r="R17" s="26">
        <f t="shared" si="8"/>
        <v>32</v>
      </c>
      <c r="S17" s="36">
        <f t="shared" si="9"/>
        <v>25</v>
      </c>
      <c r="T17" s="73"/>
      <c r="U17" s="78"/>
      <c r="V17" s="78"/>
      <c r="W17" s="26"/>
      <c r="X17" s="26"/>
      <c r="Y17" s="26"/>
      <c r="Z17" s="26"/>
      <c r="AA17" s="26"/>
      <c r="AB17" s="26"/>
      <c r="AC17" s="73"/>
      <c r="AD17" s="104">
        <f t="shared" si="10"/>
        <v>5</v>
      </c>
      <c r="AE17" s="30"/>
      <c r="AF17" s="12"/>
      <c r="AG17" s="12"/>
      <c r="AH17" s="12"/>
      <c r="AL17" s="219">
        <f>(1+alloc1*Simulator!E17+alloc2*Simulator!F17+alloc3*Simulator!H17+alloc4*Simulator!J17+alloc5*Simulator!M17)</f>
        <v>1.1136445236903127</v>
      </c>
      <c r="AM17" s="215">
        <f>IF(SUM($AM$13:AM16)&lt;&gt;0,0,IF(O17&lt;0,B17-O16,0))</f>
        <v>0</v>
      </c>
      <c r="AN17" s="12">
        <f t="shared" si="16"/>
        <v>0</v>
      </c>
      <c r="AO17" s="1" t="s">
        <v>9</v>
      </c>
      <c r="AP17" s="12"/>
      <c r="AQ17" s="211"/>
      <c r="AR17" s="220" t="e">
        <f t="shared" si="17"/>
        <v>#N/A</v>
      </c>
      <c r="AS17" s="220" t="e">
        <f t="shared" si="11"/>
        <v>#N/A</v>
      </c>
      <c r="AT17" s="220" t="e">
        <f>IF(AQ17&lt;&gt;0,IF((AT16-B17)*(1+alloc1*Simulator!E17+alloc2*Simulator!F17+alloc3*Simulator!H17+alloc4*Simulator!J17+alloc5*Simulator!M17)&lt;0,NA(),(AT16-B17)*(1+alloc1*Simulator!E17+alloc2*Simulator!F17+alloc3*Simulator!H17+alloc4*Simulator!J17+alloc5*Simulator!M17)),NA())</f>
        <v>#N/A</v>
      </c>
      <c r="AU17" s="219" t="e">
        <f t="shared" si="12"/>
        <v>#N/A</v>
      </c>
      <c r="AV17" s="83">
        <f t="shared" si="18"/>
        <v>1.6984090415953585</v>
      </c>
      <c r="AW17" s="85" t="e">
        <f t="shared" si="13"/>
        <v>#DIV/0!</v>
      </c>
      <c r="AX17" s="1">
        <f t="shared" si="19"/>
        <v>1.973514652266692</v>
      </c>
      <c r="AY17" s="85" t="e">
        <f t="shared" si="20"/>
        <v>#DIV/0!</v>
      </c>
      <c r="AZ17" s="1">
        <f t="shared" si="21"/>
        <v>2.019227809149811</v>
      </c>
      <c r="BA17" s="85" t="e">
        <f t="shared" si="22"/>
        <v>#DIV/0!</v>
      </c>
      <c r="BB17" s="1">
        <f t="shared" si="23"/>
        <v>1.6311734135362785</v>
      </c>
      <c r="BC17" s="85" t="e">
        <f t="shared" si="24"/>
        <v>#DIV/0!</v>
      </c>
    </row>
    <row r="18" spans="1:55" hidden="1" x14ac:dyDescent="0.25">
      <c r="A18" s="104">
        <f t="shared" si="0"/>
        <v>6</v>
      </c>
      <c r="B18" s="142">
        <f t="shared" si="1"/>
        <v>17.631936921600005</v>
      </c>
      <c r="C18" s="27"/>
      <c r="D18" s="105">
        <f t="shared" si="2"/>
        <v>0.08</v>
      </c>
      <c r="E18" s="67">
        <v>0.08</v>
      </c>
      <c r="F18" s="67">
        <v>0.12991388369152915</v>
      </c>
      <c r="G18" s="67">
        <f t="shared" ca="1" si="3"/>
        <v>0.12991388369152915</v>
      </c>
      <c r="H18" s="67">
        <v>8.7047479152378204E-2</v>
      </c>
      <c r="I18" s="67">
        <f t="shared" ca="1" si="4"/>
        <v>8.7047479152378204E-2</v>
      </c>
      <c r="J18" s="67">
        <v>0.11098797213639511</v>
      </c>
      <c r="K18" s="67">
        <f t="shared" ca="1" si="5"/>
        <v>0.11098797213639511</v>
      </c>
      <c r="L18" s="105">
        <f t="shared" ca="1" si="6"/>
        <v>0.52400639978346286</v>
      </c>
      <c r="M18" s="67">
        <v>0.52400639978346286</v>
      </c>
      <c r="N18" s="27"/>
      <c r="O18" s="26">
        <f t="shared" si="14"/>
        <v>5</v>
      </c>
      <c r="P18" s="26">
        <f t="shared" si="15"/>
        <v>28</v>
      </c>
      <c r="Q18" s="26">
        <f t="shared" si="7"/>
        <v>62</v>
      </c>
      <c r="R18" s="26">
        <f t="shared" si="8"/>
        <v>36</v>
      </c>
      <c r="S18" s="36">
        <f t="shared" si="9"/>
        <v>38</v>
      </c>
      <c r="T18" s="73"/>
      <c r="U18" s="78"/>
      <c r="V18" s="78"/>
      <c r="W18" s="26"/>
      <c r="X18" s="26"/>
      <c r="Y18" s="26"/>
      <c r="Z18" s="26"/>
      <c r="AA18" s="26"/>
      <c r="AB18" s="26"/>
      <c r="AC18" s="73"/>
      <c r="AD18" s="104">
        <f t="shared" si="10"/>
        <v>6</v>
      </c>
      <c r="AE18" s="30"/>
      <c r="AF18" s="12"/>
      <c r="AG18" s="13"/>
      <c r="AH18" s="14"/>
      <c r="AL18" s="219">
        <f>(1+alloc1*Simulator!E18+alloc2*Simulator!F18+alloc3*Simulator!H18+alloc4*Simulator!J18+alloc5*Simulator!M18)</f>
        <v>1.1339003213916143</v>
      </c>
      <c r="AM18" s="215">
        <f>IF(SUM($AM$13:AM17)&lt;&gt;0,0,IF(O18&lt;0,B18-O17,0))</f>
        <v>0</v>
      </c>
      <c r="AN18" s="12">
        <f t="shared" si="16"/>
        <v>0</v>
      </c>
      <c r="AP18" s="12"/>
      <c r="AQ18" s="211"/>
      <c r="AR18" s="220" t="e">
        <f t="shared" si="17"/>
        <v>#N/A</v>
      </c>
      <c r="AS18" s="220" t="e">
        <f t="shared" si="11"/>
        <v>#N/A</v>
      </c>
      <c r="AT18" s="220" t="e">
        <f>IF(AQ18&lt;&gt;0,IF((AT17-B18)*(1+alloc1*Simulator!E18+alloc2*Simulator!F18+alloc3*Simulator!H18+alloc4*Simulator!J18+alloc5*Simulator!M18)&lt;0,NA(),(AT17-B18)*(1+alloc1*Simulator!E18+alloc2*Simulator!F18+alloc3*Simulator!H18+alloc4*Simulator!J18+alloc5*Simulator!M18)),NA())</f>
        <v>#N/A</v>
      </c>
      <c r="AU18" s="219" t="e">
        <f t="shared" si="12"/>
        <v>#N/A</v>
      </c>
      <c r="AV18" s="83">
        <f t="shared" si="18"/>
        <v>1.9190559562858196</v>
      </c>
      <c r="AW18" s="85" t="e">
        <f t="shared" si="13"/>
        <v>#DIV/0!</v>
      </c>
      <c r="AX18" s="1">
        <f t="shared" si="19"/>
        <v>2.1453041278167899</v>
      </c>
      <c r="AY18" s="85" t="e">
        <f t="shared" si="20"/>
        <v>#DIV/0!</v>
      </c>
      <c r="AZ18" s="1">
        <f t="shared" si="21"/>
        <v>2.2433378089687643</v>
      </c>
      <c r="BA18" s="85" t="e">
        <f t="shared" si="22"/>
        <v>#DIV/0!</v>
      </c>
      <c r="BB18" s="1">
        <f t="shared" si="23"/>
        <v>2.4859187213859255</v>
      </c>
      <c r="BC18" s="85" t="e">
        <f t="shared" si="24"/>
        <v>#DIV/0!</v>
      </c>
    </row>
    <row r="19" spans="1:55" hidden="1" x14ac:dyDescent="0.25">
      <c r="A19" s="104">
        <f t="shared" si="0"/>
        <v>7</v>
      </c>
      <c r="B19" s="142">
        <f t="shared" si="1"/>
        <v>19.042491875328007</v>
      </c>
      <c r="C19" s="27"/>
      <c r="D19" s="105">
        <f t="shared" si="2"/>
        <v>0.08</v>
      </c>
      <c r="E19" s="67">
        <v>0.08</v>
      </c>
      <c r="F19" s="67">
        <v>5.5718068777516457E-2</v>
      </c>
      <c r="G19" s="67">
        <f t="shared" ca="1" si="3"/>
        <v>5.5718068777516457E-2</v>
      </c>
      <c r="H19" s="67">
        <v>0.22273771358101913</v>
      </c>
      <c r="I19" s="67">
        <f t="shared" ca="1" si="4"/>
        <v>0.22273771358101913</v>
      </c>
      <c r="J19" s="67">
        <v>0.14371541304574736</v>
      </c>
      <c r="K19" s="67">
        <f t="shared" ca="1" si="5"/>
        <v>0.14371541304574736</v>
      </c>
      <c r="L19" s="105">
        <f t="shared" ca="1" si="6"/>
        <v>0.58987098485133016</v>
      </c>
      <c r="M19" s="67">
        <v>0.58987098485133016</v>
      </c>
      <c r="N19" s="27"/>
      <c r="O19" s="26">
        <f t="shared" si="14"/>
        <v>-15</v>
      </c>
      <c r="P19" s="26">
        <f t="shared" si="15"/>
        <v>30</v>
      </c>
      <c r="Q19" s="26">
        <f t="shared" si="7"/>
        <v>76</v>
      </c>
      <c r="R19" s="26">
        <f t="shared" si="8"/>
        <v>41</v>
      </c>
      <c r="S19" s="36">
        <f t="shared" si="9"/>
        <v>60</v>
      </c>
      <c r="T19" s="73"/>
      <c r="U19" s="78"/>
      <c r="V19" s="78"/>
      <c r="W19" s="26"/>
      <c r="X19" s="26"/>
      <c r="Y19" s="26"/>
      <c r="Z19" s="26"/>
      <c r="AA19" s="26"/>
      <c r="AB19" s="26"/>
      <c r="AC19" s="73"/>
      <c r="AD19" s="104">
        <f t="shared" si="10"/>
        <v>7</v>
      </c>
      <c r="AE19" s="30"/>
      <c r="AF19" s="12"/>
      <c r="AG19" s="15"/>
      <c r="AH19" s="14"/>
      <c r="AL19" s="219">
        <f>(1+alloc1*Simulator!E19+alloc2*Simulator!F19+alloc3*Simulator!H19+alloc4*Simulator!J19+alloc5*Simulator!M19)</f>
        <v>1.1634779893836633</v>
      </c>
      <c r="AM19" s="215">
        <f>IF(SUM($AM$13:AM18)&lt;&gt;0,0,IF(O19&lt;0,B19-O18,0))</f>
        <v>14.042491875328007</v>
      </c>
      <c r="AN19" s="12">
        <f t="shared" si="16"/>
        <v>7</v>
      </c>
      <c r="AO19" s="1" t="s">
        <v>3</v>
      </c>
      <c r="AP19" s="12"/>
      <c r="AQ19" s="211"/>
      <c r="AR19" s="220" t="e">
        <f t="shared" si="17"/>
        <v>#N/A</v>
      </c>
      <c r="AS19" s="220" t="e">
        <f t="shared" si="11"/>
        <v>#N/A</v>
      </c>
      <c r="AT19" s="220" t="e">
        <f>IF(AQ19&lt;&gt;0,IF((AT18-B19)*(1+alloc1*Simulator!E19+alloc2*Simulator!F19+alloc3*Simulator!H19+alloc4*Simulator!J19+alloc5*Simulator!M19)&lt;0,NA(),(AT18-B19)*(1+alloc1*Simulator!E19+alloc2*Simulator!F19+alloc3*Simulator!H19+alloc4*Simulator!J19+alloc5*Simulator!M19)),NA())</f>
        <v>#N/A</v>
      </c>
      <c r="AU19" s="219" t="e">
        <f t="shared" si="12"/>
        <v>#N/A</v>
      </c>
      <c r="AV19" s="83">
        <f t="shared" si="18"/>
        <v>2.0259820480460555</v>
      </c>
      <c r="AW19" s="85" t="e">
        <f t="shared" si="13"/>
        <v>#DIV/0!</v>
      </c>
      <c r="AX19" s="1">
        <f t="shared" si="19"/>
        <v>2.6231442641826241</v>
      </c>
      <c r="AY19" s="85" t="e">
        <f t="shared" si="20"/>
        <v>#DIV/0!</v>
      </c>
      <c r="AZ19" s="1">
        <f t="shared" si="21"/>
        <v>2.5657400287858523</v>
      </c>
      <c r="BA19" s="85" t="e">
        <f t="shared" si="22"/>
        <v>#DIV/0!</v>
      </c>
      <c r="BB19" s="1">
        <f t="shared" si="23"/>
        <v>3.9522900458302006</v>
      </c>
      <c r="BC19" s="85" t="e">
        <f t="shared" si="24"/>
        <v>#DIV/0!</v>
      </c>
    </row>
    <row r="20" spans="1:55" hidden="1" x14ac:dyDescent="0.25">
      <c r="A20" s="104">
        <f t="shared" si="0"/>
        <v>8</v>
      </c>
      <c r="B20" s="142">
        <f t="shared" si="1"/>
        <v>20.565891225354246</v>
      </c>
      <c r="C20" s="27"/>
      <c r="D20" s="105">
        <f t="shared" si="2"/>
        <v>0.08</v>
      </c>
      <c r="E20" s="67">
        <v>0.08</v>
      </c>
      <c r="F20" s="67">
        <v>0.11253322292701561</v>
      </c>
      <c r="G20" s="67">
        <f t="shared" ca="1" si="3"/>
        <v>0.11253322292701561</v>
      </c>
      <c r="H20" s="67">
        <v>0.15819848410222451</v>
      </c>
      <c r="I20" s="67">
        <f t="shared" ca="1" si="4"/>
        <v>0.15819848410222451</v>
      </c>
      <c r="J20" s="67">
        <v>-0.13577711810769072</v>
      </c>
      <c r="K20" s="67">
        <f t="shared" ca="1" si="5"/>
        <v>-0.13577711810769072</v>
      </c>
      <c r="L20" s="105">
        <f t="shared" ca="1" si="6"/>
        <v>0.26073566486512201</v>
      </c>
      <c r="M20" s="67">
        <v>0.26073566486512201</v>
      </c>
      <c r="N20" s="27"/>
      <c r="O20" s="26">
        <f t="shared" si="14"/>
        <v>-38</v>
      </c>
      <c r="P20" s="26">
        <f t="shared" si="15"/>
        <v>33</v>
      </c>
      <c r="Q20" s="26">
        <f t="shared" si="7"/>
        <v>88</v>
      </c>
      <c r="R20" s="26">
        <f t="shared" si="8"/>
        <v>35</v>
      </c>
      <c r="S20" s="36">
        <f t="shared" si="9"/>
        <v>76</v>
      </c>
      <c r="T20" s="73"/>
      <c r="U20" s="78"/>
      <c r="V20" s="78"/>
      <c r="W20" s="26"/>
      <c r="X20" s="26"/>
      <c r="Y20" s="26"/>
      <c r="Z20" s="26"/>
      <c r="AA20" s="26"/>
      <c r="AB20" s="26"/>
      <c r="AC20" s="73"/>
      <c r="AD20" s="104">
        <f t="shared" si="10"/>
        <v>8</v>
      </c>
      <c r="AE20" s="11"/>
      <c r="AF20" s="12"/>
      <c r="AG20" s="13"/>
      <c r="AH20" s="14"/>
      <c r="AL20" s="219">
        <f>(1+alloc1*Simulator!E20+alloc2*Simulator!F20+alloc3*Simulator!H20+alloc4*Simulator!J20+alloc5*Simulator!M20)</f>
        <v>1.0953888737888895</v>
      </c>
      <c r="AM20" s="215">
        <f>IF(SUM($AM$13:AM19)&lt;&gt;0,0,IF(O20&lt;0,B20-O19,0))</f>
        <v>0</v>
      </c>
      <c r="AN20" s="12">
        <f t="shared" si="16"/>
        <v>0</v>
      </c>
      <c r="AO20" s="1" t="s">
        <v>6</v>
      </c>
      <c r="AP20" s="12"/>
      <c r="AQ20" s="211"/>
      <c r="AR20" s="220" t="e">
        <f t="shared" ref="AR20:AR25" si="25">IF(AQ20=SUM(AN7:AN1106),NA(),IF(AQ20&lt;&gt;0,IF(SUM(O20:S20)&lt;0,NA(),SUM(O20:S20)),NA()))</f>
        <v>#N/A</v>
      </c>
      <c r="AS20" s="220" t="e">
        <f t="shared" si="11"/>
        <v>#N/A</v>
      </c>
      <c r="AT20" s="220" t="e">
        <f>IF(AQ20&lt;&gt;0,IF((AT19-B20)*(1+alloc1*Simulator!E20+alloc2*Simulator!F20+alloc3*Simulator!H20+alloc4*Simulator!J20+alloc5*Simulator!M20)&lt;0,NA(),(AT19-B20)*(1+alloc1*Simulator!E20+alloc2*Simulator!F20+alloc3*Simulator!H20+alloc4*Simulator!J20+alloc5*Simulator!M20)),NA())</f>
        <v>#N/A</v>
      </c>
      <c r="AU20" s="219" t="e">
        <f t="shared" si="12"/>
        <v>#N/A</v>
      </c>
      <c r="AV20" s="83">
        <f t="shared" si="18"/>
        <v>2.2539723375049538</v>
      </c>
      <c r="AW20" s="85" t="e">
        <f t="shared" si="13"/>
        <v>#DIV/0!</v>
      </c>
      <c r="AX20" s="1">
        <f t="shared" si="19"/>
        <v>3.0381217103577605</v>
      </c>
      <c r="AY20" s="85" t="e">
        <f t="shared" si="20"/>
        <v>#DIV/0!</v>
      </c>
      <c r="AZ20" s="1">
        <f t="shared" si="21"/>
        <v>2.2173712418637659</v>
      </c>
      <c r="BA20" s="85" t="e">
        <f t="shared" si="22"/>
        <v>#DIV/0!</v>
      </c>
      <c r="BB20" s="1">
        <f t="shared" si="23"/>
        <v>4.9827930186695415</v>
      </c>
      <c r="BC20" s="85" t="e">
        <f t="shared" si="24"/>
        <v>#DIV/0!</v>
      </c>
    </row>
    <row r="21" spans="1:55" hidden="1" x14ac:dyDescent="0.25">
      <c r="A21" s="104">
        <f t="shared" si="0"/>
        <v>9</v>
      </c>
      <c r="B21" s="142">
        <f t="shared" si="1"/>
        <v>22.211162523382587</v>
      </c>
      <c r="C21" s="27"/>
      <c r="D21" s="105">
        <f t="shared" si="2"/>
        <v>0.08</v>
      </c>
      <c r="E21" s="67">
        <v>0.08</v>
      </c>
      <c r="F21" s="67">
        <v>0.14481041078058429</v>
      </c>
      <c r="G21" s="67">
        <f t="shared" ca="1" si="3"/>
        <v>0.14481041078058429</v>
      </c>
      <c r="H21" s="67">
        <v>8.9231417158008641E-2</v>
      </c>
      <c r="I21" s="67">
        <f t="shared" ca="1" si="4"/>
        <v>8.9231417158008641E-2</v>
      </c>
      <c r="J21" s="67">
        <v>0.34509075548879026</v>
      </c>
      <c r="K21" s="67">
        <f t="shared" ca="1" si="5"/>
        <v>0.34509075548879026</v>
      </c>
      <c r="L21" s="105">
        <f t="shared" ca="1" si="6"/>
        <v>-9.5263801654071306E-2</v>
      </c>
      <c r="M21" s="67">
        <v>-9.5263801654071306E-2</v>
      </c>
      <c r="N21" s="27"/>
      <c r="O21" s="26">
        <f t="shared" si="14"/>
        <v>-65</v>
      </c>
      <c r="P21" s="26">
        <f t="shared" si="15"/>
        <v>38</v>
      </c>
      <c r="Q21" s="26">
        <f t="shared" si="7"/>
        <v>96</v>
      </c>
      <c r="R21" s="26">
        <f t="shared" si="8"/>
        <v>47</v>
      </c>
      <c r="S21" s="36">
        <f t="shared" si="9"/>
        <v>69</v>
      </c>
      <c r="T21" s="73"/>
      <c r="U21" s="78"/>
      <c r="V21" s="78"/>
      <c r="W21" s="26"/>
      <c r="X21" s="26"/>
      <c r="Y21" s="26"/>
      <c r="Z21" s="26"/>
      <c r="AA21" s="26"/>
      <c r="AB21" s="26"/>
      <c r="AC21" s="73"/>
      <c r="AD21" s="104">
        <f t="shared" si="10"/>
        <v>9</v>
      </c>
      <c r="AE21" s="11"/>
      <c r="AF21" s="12"/>
      <c r="AG21" s="13"/>
      <c r="AH21" s="14"/>
      <c r="AL21" s="219">
        <f>(1+alloc1*Simulator!E21+alloc2*Simulator!F21+alloc3*Simulator!H21+alloc4*Simulator!J21+alloc5*Simulator!M21)</f>
        <v>1.0973100198931323</v>
      </c>
      <c r="AM21" s="215">
        <f>IF(SUM($AM$13:AM20)&lt;&gt;0,0,IF(O21&lt;0,B21-O20,0))</f>
        <v>0</v>
      </c>
      <c r="AN21" s="12">
        <f t="shared" si="16"/>
        <v>0</v>
      </c>
      <c r="AO21" s="1" t="s">
        <v>9</v>
      </c>
      <c r="AP21" s="12"/>
      <c r="AQ21" s="211"/>
      <c r="AR21" s="220" t="e">
        <f t="shared" si="25"/>
        <v>#N/A</v>
      </c>
      <c r="AS21" s="220" t="e">
        <f t="shared" si="11"/>
        <v>#N/A</v>
      </c>
      <c r="AT21" s="220" t="e">
        <f>IF(AQ21&lt;&gt;0,IF((AT20-B21)*(1+alloc1*Simulator!E21+alloc2*Simulator!F21+alloc3*Simulator!H21+alloc4*Simulator!J21+alloc5*Simulator!M21)&lt;0,NA(),(AT20-B21)*(1+alloc1*Simulator!E21+alloc2*Simulator!F21+alloc3*Simulator!H21+alloc4*Simulator!J21+alloc5*Simulator!M21)),NA())</f>
        <v>#N/A</v>
      </c>
      <c r="AU21" s="219" t="e">
        <f t="shared" si="12"/>
        <v>#N/A</v>
      </c>
      <c r="AV21" s="83">
        <f t="shared" si="18"/>
        <v>2.5803709975871199</v>
      </c>
      <c r="AW21" s="85" t="e">
        <f t="shared" si="13"/>
        <v>#DIV/0!</v>
      </c>
      <c r="AX21" s="1">
        <f t="shared" si="19"/>
        <v>3.3092176160714963</v>
      </c>
      <c r="AY21" s="85" t="e">
        <f t="shared" si="20"/>
        <v>#DIV/0!</v>
      </c>
      <c r="AZ21" s="1">
        <f t="shared" si="21"/>
        <v>2.9825655589176501</v>
      </c>
      <c r="BA21" s="85" t="e">
        <f t="shared" si="22"/>
        <v>#DIV/0!</v>
      </c>
      <c r="BB21" s="1">
        <f t="shared" si="23"/>
        <v>4.5081132128557151</v>
      </c>
      <c r="BC21" s="85" t="e">
        <f t="shared" si="24"/>
        <v>#DIV/0!</v>
      </c>
    </row>
    <row r="22" spans="1:55" hidden="1" x14ac:dyDescent="0.25">
      <c r="A22" s="104">
        <f t="shared" si="0"/>
        <v>10</v>
      </c>
      <c r="B22" s="142">
        <f t="shared" si="1"/>
        <v>23.988055525253195</v>
      </c>
      <c r="C22" s="27"/>
      <c r="D22" s="105">
        <f t="shared" si="2"/>
        <v>0.08</v>
      </c>
      <c r="E22" s="67">
        <v>0.08</v>
      </c>
      <c r="F22" s="67">
        <v>7.5433179231767178E-2</v>
      </c>
      <c r="G22" s="67">
        <f t="shared" ca="1" si="3"/>
        <v>7.5433179231767178E-2</v>
      </c>
      <c r="H22" s="67">
        <v>2.2098084287070274E-2</v>
      </c>
      <c r="I22" s="67">
        <f t="shared" ca="1" si="4"/>
        <v>2.2098084287070274E-2</v>
      </c>
      <c r="J22" s="67">
        <v>-7.4237303406309685E-2</v>
      </c>
      <c r="K22" s="67">
        <f t="shared" ca="1" si="5"/>
        <v>-7.4237303406309685E-2</v>
      </c>
      <c r="L22" s="105">
        <f t="shared" ca="1" si="6"/>
        <v>0.12173576269888094</v>
      </c>
      <c r="M22" s="67">
        <v>0.12173576269888094</v>
      </c>
      <c r="N22" s="27"/>
      <c r="O22" s="26">
        <f t="shared" si="14"/>
        <v>-96</v>
      </c>
      <c r="P22" s="26">
        <f t="shared" si="15"/>
        <v>41</v>
      </c>
      <c r="Q22" s="26">
        <f t="shared" si="7"/>
        <v>98</v>
      </c>
      <c r="R22" s="26">
        <f t="shared" si="8"/>
        <v>44</v>
      </c>
      <c r="S22" s="36">
        <f t="shared" si="9"/>
        <v>77</v>
      </c>
      <c r="T22" s="73"/>
      <c r="U22" s="78"/>
      <c r="V22" s="78"/>
      <c r="W22" s="26"/>
      <c r="X22" s="26"/>
      <c r="Y22" s="26"/>
      <c r="Z22" s="26"/>
      <c r="AA22" s="26"/>
      <c r="AB22" s="26"/>
      <c r="AC22" s="73"/>
      <c r="AD22" s="104">
        <f t="shared" si="10"/>
        <v>10</v>
      </c>
      <c r="AE22" s="11"/>
      <c r="AF22" s="12"/>
      <c r="AG22" s="13"/>
      <c r="AH22" s="14"/>
      <c r="AL22" s="219">
        <f>(1+alloc1*Simulator!E22+alloc2*Simulator!F22+alloc3*Simulator!H22+alloc4*Simulator!J22+alloc5*Simulator!M22)</f>
        <v>1.0567127807098478</v>
      </c>
      <c r="AM22" s="215">
        <f>IF(SUM($AM$13:AM21)&lt;&gt;0,0,IF(O22&lt;0,B22-O21,0))</f>
        <v>0</v>
      </c>
      <c r="AN22" s="12">
        <f t="shared" si="16"/>
        <v>0</v>
      </c>
      <c r="AP22" s="12"/>
      <c r="AQ22" s="211"/>
      <c r="AR22" s="220" t="e">
        <f t="shared" si="25"/>
        <v>#N/A</v>
      </c>
      <c r="AS22" s="220" t="e">
        <f t="shared" si="11"/>
        <v>#N/A</v>
      </c>
      <c r="AT22" s="220" t="e">
        <f>IF(AQ22&lt;&gt;0,IF((AT21-B22)*(1+alloc1*Simulator!E22+alloc2*Simulator!F22+alloc3*Simulator!H22+alloc4*Simulator!J22+alloc5*Simulator!M22)&lt;0,NA(),(AT21-B22)*(1+alloc1*Simulator!E22+alloc2*Simulator!F22+alloc3*Simulator!H22+alloc4*Simulator!J22+alloc5*Simulator!M22)),NA())</f>
        <v>#N/A</v>
      </c>
      <c r="AU22" s="219" t="e">
        <f t="shared" si="12"/>
        <v>#N/A</v>
      </c>
      <c r="AV22" s="83">
        <f t="shared" si="18"/>
        <v>2.7750165855325628</v>
      </c>
      <c r="AW22" s="85" t="e">
        <f t="shared" si="13"/>
        <v>#DIV/0!</v>
      </c>
      <c r="AX22" s="1">
        <f t="shared" si="19"/>
        <v>3.3823449858757022</v>
      </c>
      <c r="AY22" s="85" t="e">
        <f t="shared" si="20"/>
        <v>#DIV/0!</v>
      </c>
      <c r="AZ22" s="1">
        <f t="shared" si="21"/>
        <v>2.7611479345910706</v>
      </c>
      <c r="BA22" s="85" t="e">
        <f t="shared" si="22"/>
        <v>#DIV/0!</v>
      </c>
      <c r="BB22" s="1">
        <f t="shared" si="23"/>
        <v>5.0569118131556081</v>
      </c>
      <c r="BC22" s="85" t="e">
        <f t="shared" si="24"/>
        <v>#DIV/0!</v>
      </c>
    </row>
    <row r="23" spans="1:55" hidden="1" x14ac:dyDescent="0.25">
      <c r="A23" s="104">
        <f t="shared" si="0"/>
        <v>11</v>
      </c>
      <c r="B23" s="142">
        <f t="shared" si="1"/>
        <v>25.907099967273457</v>
      </c>
      <c r="C23" s="27"/>
      <c r="D23" s="105">
        <f t="shared" si="2"/>
        <v>0.08</v>
      </c>
      <c r="E23" s="67">
        <v>0.08</v>
      </c>
      <c r="F23" s="67">
        <v>0.14198396748783038</v>
      </c>
      <c r="G23" s="67">
        <f t="shared" ca="1" si="3"/>
        <v>0.14198396748783038</v>
      </c>
      <c r="H23" s="67">
        <v>1.07215110473355E-2</v>
      </c>
      <c r="I23" s="67">
        <f t="shared" ca="1" si="4"/>
        <v>1.07215110473355E-2</v>
      </c>
      <c r="J23" s="67">
        <v>0.17878292172749338</v>
      </c>
      <c r="K23" s="67">
        <f t="shared" ca="1" si="5"/>
        <v>0.17878292172749338</v>
      </c>
      <c r="L23" s="105">
        <f t="shared" ca="1" si="6"/>
        <v>0.6095934882349956</v>
      </c>
      <c r="M23" s="67">
        <v>0.6095934882349956</v>
      </c>
      <c r="N23" s="27"/>
      <c r="O23" s="26">
        <f t="shared" si="14"/>
        <v>-132</v>
      </c>
      <c r="P23" s="26">
        <f t="shared" si="15"/>
        <v>47</v>
      </c>
      <c r="Q23" s="26">
        <f t="shared" si="7"/>
        <v>99</v>
      </c>
      <c r="R23" s="26">
        <f t="shared" si="8"/>
        <v>52</v>
      </c>
      <c r="S23" s="36">
        <f t="shared" si="9"/>
        <v>124</v>
      </c>
      <c r="T23" s="73"/>
      <c r="U23" s="78"/>
      <c r="V23" s="78"/>
      <c r="W23" s="26"/>
      <c r="X23" s="26"/>
      <c r="Y23" s="26"/>
      <c r="Z23" s="26"/>
      <c r="AA23" s="26"/>
      <c r="AB23" s="26"/>
      <c r="AC23" s="73"/>
      <c r="AD23" s="104">
        <f t="shared" si="10"/>
        <v>11</v>
      </c>
      <c r="AE23" s="11"/>
      <c r="AF23" s="12"/>
      <c r="AG23" s="13"/>
      <c r="AH23" s="14"/>
      <c r="AL23" s="219">
        <f>(1+alloc1*Simulator!E23+alloc2*Simulator!F23+alloc3*Simulator!H23+alloc4*Simulator!J23+alloc5*Simulator!M23)</f>
        <v>1.1351803399544993</v>
      </c>
      <c r="AM23" s="215">
        <f>IF(SUM($AM$13:AM22)&lt;&gt;0,0,IF(O23&lt;0,B23-O22,0))</f>
        <v>0</v>
      </c>
      <c r="AN23" s="12">
        <f t="shared" si="16"/>
        <v>0</v>
      </c>
      <c r="AP23" s="12"/>
      <c r="AQ23" s="211"/>
      <c r="AR23" s="220" t="e">
        <f t="shared" si="25"/>
        <v>#N/A</v>
      </c>
      <c r="AS23" s="220" t="e">
        <f t="shared" si="11"/>
        <v>#N/A</v>
      </c>
      <c r="AT23" s="220" t="e">
        <f>IF(AQ23&lt;&gt;0,IF((AT22-B23)*(1+alloc1*Simulator!E23+alloc2*Simulator!F23+alloc3*Simulator!H23+alloc4*Simulator!J23+alloc5*Simulator!M23)&lt;0,NA(),(AT22-B23)*(1+alloc1*Simulator!E23+alloc2*Simulator!F23+alloc3*Simulator!H23+alloc4*Simulator!J23+alloc5*Simulator!M23)),NA())</f>
        <v>#N/A</v>
      </c>
      <c r="AU23" s="219" t="e">
        <f t="shared" si="12"/>
        <v>#N/A</v>
      </c>
      <c r="AV23" s="83">
        <f t="shared" si="18"/>
        <v>3.1690244501910088</v>
      </c>
      <c r="AW23" s="85" t="e">
        <f t="shared" si="13"/>
        <v>#DIV/0!</v>
      </c>
      <c r="AX23" s="1">
        <f t="shared" si="19"/>
        <v>3.4186088350076687</v>
      </c>
      <c r="AY23" s="85" t="e">
        <f t="shared" si="20"/>
        <v>#DIV/0!</v>
      </c>
      <c r="AZ23" s="1">
        <f t="shared" si="21"/>
        <v>3.254794029659096</v>
      </c>
      <c r="BA23" s="85" t="e">
        <f t="shared" si="22"/>
        <v>#DIV/0!</v>
      </c>
      <c r="BB23" s="1">
        <f t="shared" si="23"/>
        <v>8.1395723250338907</v>
      </c>
      <c r="BC23" s="85" t="e">
        <f t="shared" si="24"/>
        <v>#DIV/0!</v>
      </c>
    </row>
    <row r="24" spans="1:55" hidden="1" x14ac:dyDescent="0.25">
      <c r="A24" s="104">
        <f t="shared" si="0"/>
        <v>12</v>
      </c>
      <c r="B24" s="142">
        <f t="shared" si="1"/>
        <v>27.979667964655327</v>
      </c>
      <c r="C24" s="27"/>
      <c r="D24" s="105">
        <f t="shared" si="2"/>
        <v>0.08</v>
      </c>
      <c r="E24" s="67">
        <v>0.08</v>
      </c>
      <c r="F24" s="67">
        <v>8.6623326189171596E-2</v>
      </c>
      <c r="G24" s="67">
        <f t="shared" ca="1" si="3"/>
        <v>8.6623326189171596E-2</v>
      </c>
      <c r="H24" s="67">
        <v>0.26215106030510271</v>
      </c>
      <c r="I24" s="67">
        <f t="shared" ca="1" si="4"/>
        <v>0.26215106030510271</v>
      </c>
      <c r="J24" s="67">
        <v>0.33242337034116981</v>
      </c>
      <c r="K24" s="67">
        <f t="shared" ca="1" si="5"/>
        <v>0.33242337034116981</v>
      </c>
      <c r="L24" s="105">
        <f t="shared" ca="1" si="6"/>
        <v>0.28086919540929256</v>
      </c>
      <c r="M24" s="67">
        <v>0.28086919540929256</v>
      </c>
      <c r="N24" s="27"/>
      <c r="O24" s="26">
        <f t="shared" si="14"/>
        <v>-173</v>
      </c>
      <c r="P24" s="26">
        <f t="shared" si="15"/>
        <v>51</v>
      </c>
      <c r="Q24" s="26">
        <f t="shared" si="7"/>
        <v>125</v>
      </c>
      <c r="R24" s="26">
        <f t="shared" si="8"/>
        <v>69</v>
      </c>
      <c r="S24" s="36">
        <f t="shared" si="9"/>
        <v>159</v>
      </c>
      <c r="T24" s="73"/>
      <c r="U24" s="78"/>
      <c r="V24" s="78"/>
      <c r="W24" s="26"/>
      <c r="X24" s="26"/>
      <c r="Y24" s="26"/>
      <c r="Z24" s="26"/>
      <c r="AA24" s="26"/>
      <c r="AB24" s="26"/>
      <c r="AC24" s="73"/>
      <c r="AD24" s="104">
        <f t="shared" si="10"/>
        <v>12</v>
      </c>
      <c r="AE24" s="11"/>
      <c r="AF24" s="12"/>
      <c r="AG24" s="13"/>
      <c r="AH24" s="14"/>
      <c r="AL24" s="219">
        <f>(1+alloc1*Simulator!E24+alloc2*Simulator!F24+alloc3*Simulator!H24+alloc4*Simulator!J24+alloc5*Simulator!M24)</f>
        <v>1.1624218012549841</v>
      </c>
      <c r="AM24" s="215">
        <f>IF(SUM($AM$13:AM23)&lt;&gt;0,0,IF(O24&lt;0,B24-O23,0))</f>
        <v>0</v>
      </c>
      <c r="AN24" s="12">
        <f t="shared" si="16"/>
        <v>0</v>
      </c>
      <c r="AO24" s="12"/>
      <c r="AP24" s="12"/>
      <c r="AQ24" s="211"/>
      <c r="AR24" s="220" t="e">
        <f t="shared" si="25"/>
        <v>#N/A</v>
      </c>
      <c r="AS24" s="220" t="e">
        <f t="shared" si="11"/>
        <v>#N/A</v>
      </c>
      <c r="AT24" s="220" t="e">
        <f>IF(AQ24&lt;&gt;0,IF((AT23-B24)*(1+alloc1*Simulator!E24+alloc2*Simulator!F24+alloc3*Simulator!H24+alloc4*Simulator!J24+alloc5*Simulator!M24)&lt;0,NA(),(AT23-B24)*(1+alloc1*Simulator!E24+alloc2*Simulator!F24+alloc3*Simulator!H24+alloc4*Simulator!J24+alloc5*Simulator!M24)),NA())</f>
        <v>#N/A</v>
      </c>
      <c r="AU24" s="219" t="e">
        <f t="shared" si="12"/>
        <v>#N/A</v>
      </c>
      <c r="AV24" s="83">
        <f t="shared" si="18"/>
        <v>3.4435358888413647</v>
      </c>
      <c r="AW24" s="85" t="e">
        <f t="shared" si="13"/>
        <v>#DIV/0!</v>
      </c>
      <c r="AX24" s="1">
        <f t="shared" si="19"/>
        <v>4.3148007658733212</v>
      </c>
      <c r="AY24" s="85" t="e">
        <f t="shared" si="20"/>
        <v>#DIV/0!</v>
      </c>
      <c r="AZ24" s="1">
        <f t="shared" si="21"/>
        <v>4.3367636307646906</v>
      </c>
      <c r="BA24" s="85" t="e">
        <f t="shared" si="22"/>
        <v>#DIV/0!</v>
      </c>
      <c r="BB24" s="1">
        <f t="shared" si="23"/>
        <v>10.425727454941905</v>
      </c>
      <c r="BC24" s="85" t="e">
        <f t="shared" si="24"/>
        <v>#DIV/0!</v>
      </c>
    </row>
    <row r="25" spans="1:55" hidden="1" x14ac:dyDescent="0.25">
      <c r="A25" s="104">
        <f t="shared" si="0"/>
        <v>13</v>
      </c>
      <c r="B25" s="142">
        <f t="shared" si="1"/>
        <v>30.218041401827758</v>
      </c>
      <c r="C25" s="27"/>
      <c r="D25" s="105">
        <f t="shared" si="2"/>
        <v>0.08</v>
      </c>
      <c r="E25" s="67">
        <v>0.08</v>
      </c>
      <c r="F25" s="67">
        <v>9.2942567986103064E-2</v>
      </c>
      <c r="G25" s="67">
        <f t="shared" ca="1" si="3"/>
        <v>9.2942567986103064E-2</v>
      </c>
      <c r="H25" s="67">
        <v>3.4079483487187465E-2</v>
      </c>
      <c r="I25" s="67">
        <f t="shared" ca="1" si="4"/>
        <v>3.4079483487187465E-2</v>
      </c>
      <c r="J25" s="67">
        <v>0.10200884915511588</v>
      </c>
      <c r="K25" s="67">
        <f t="shared" ca="1" si="5"/>
        <v>0.10200884915511588</v>
      </c>
      <c r="L25" s="105">
        <f t="shared" ca="1" si="6"/>
        <v>0.1623736986124282</v>
      </c>
      <c r="M25" s="67">
        <v>0.1623736986124282</v>
      </c>
      <c r="N25" s="27"/>
      <c r="O25" s="26">
        <f t="shared" si="14"/>
        <v>-219</v>
      </c>
      <c r="P25" s="26">
        <f t="shared" si="15"/>
        <v>56</v>
      </c>
      <c r="Q25" s="26">
        <f t="shared" si="7"/>
        <v>129</v>
      </c>
      <c r="R25" s="26">
        <f t="shared" si="8"/>
        <v>76</v>
      </c>
      <c r="S25" s="36">
        <f t="shared" si="9"/>
        <v>185</v>
      </c>
      <c r="T25" s="73"/>
      <c r="U25" s="78"/>
      <c r="V25" s="78"/>
      <c r="W25" s="26"/>
      <c r="X25" s="26"/>
      <c r="Y25" s="26"/>
      <c r="Z25" s="26"/>
      <c r="AA25" s="26"/>
      <c r="AB25" s="26"/>
      <c r="AC25" s="73"/>
      <c r="AD25" s="104">
        <f t="shared" si="10"/>
        <v>13</v>
      </c>
      <c r="AE25" s="11"/>
      <c r="AF25" s="12"/>
      <c r="AG25" s="13"/>
      <c r="AH25" s="14"/>
      <c r="AL25" s="219">
        <f>(1+alloc1*Simulator!E25+alloc2*Simulator!F25+alloc3*Simulator!H25+alloc4*Simulator!J25+alloc5*Simulator!M25)</f>
        <v>1.0825484082728021</v>
      </c>
      <c r="AM25" s="215">
        <f>IF(SUM($AM$13:AM24)&lt;&gt;0,0,IF(O25&lt;0,B25-O24,0))</f>
        <v>0</v>
      </c>
      <c r="AN25" s="12">
        <f t="shared" si="16"/>
        <v>0</v>
      </c>
      <c r="AO25" s="12"/>
      <c r="AP25" s="12"/>
      <c r="AQ25" s="211"/>
      <c r="AR25" s="220" t="e">
        <f t="shared" si="25"/>
        <v>#N/A</v>
      </c>
      <c r="AS25" s="220" t="e">
        <f t="shared" si="11"/>
        <v>#N/A</v>
      </c>
      <c r="AT25" s="220" t="e">
        <f>IF(AQ25&lt;&gt;0,IF((AT24-B25)*(1+alloc1*Simulator!E25+alloc2*Simulator!F25+alloc3*Simulator!H25+alloc4*Simulator!J25+alloc5*Simulator!M25)&lt;0,NA(),(AT24-B25)*(1+alloc1*Simulator!E25+alloc2*Simulator!F25+alloc3*Simulator!H25+alloc4*Simulator!J25+alloc5*Simulator!M25)),NA())</f>
        <v>#N/A</v>
      </c>
      <c r="AU25" s="219" t="e">
        <f t="shared" si="12"/>
        <v>#N/A</v>
      </c>
      <c r="AV25" s="83">
        <f t="shared" si="18"/>
        <v>3.7635869573025893</v>
      </c>
      <c r="AW25" s="85" t="e">
        <f t="shared" si="13"/>
        <v>#DIV/0!</v>
      </c>
      <c r="AX25" s="1">
        <f t="shared" si="19"/>
        <v>4.4618469473244042</v>
      </c>
      <c r="AY25" s="85" t="e">
        <f t="shared" si="20"/>
        <v>#DIV/0!</v>
      </c>
      <c r="AZ25" s="1">
        <f t="shared" si="21"/>
        <v>4.7791518977967584</v>
      </c>
      <c r="BA25" s="85" t="e">
        <f t="shared" si="22"/>
        <v>#DIV/0!</v>
      </c>
      <c r="BB25" s="1">
        <f t="shared" si="23"/>
        <v>12.11859138252596</v>
      </c>
      <c r="BC25" s="85" t="e">
        <f t="shared" si="24"/>
        <v>#DIV/0!</v>
      </c>
    </row>
    <row r="26" spans="1:55" hidden="1" x14ac:dyDescent="0.25">
      <c r="A26" s="104">
        <f t="shared" si="0"/>
        <v>14</v>
      </c>
      <c r="B26" s="142">
        <f t="shared" si="1"/>
        <v>32.63548471397398</v>
      </c>
      <c r="C26" s="27"/>
      <c r="D26" s="105">
        <f t="shared" si="2"/>
        <v>0.08</v>
      </c>
      <c r="E26" s="67">
        <v>0.08</v>
      </c>
      <c r="F26" s="67">
        <v>6.1147399522813686E-2</v>
      </c>
      <c r="G26" s="67">
        <f t="shared" ca="1" si="3"/>
        <v>6.1147399522813686E-2</v>
      </c>
      <c r="H26" s="67">
        <v>4.6405906472228864E-3</v>
      </c>
      <c r="I26" s="67">
        <f t="shared" ca="1" si="4"/>
        <v>4.6405906472228864E-3</v>
      </c>
      <c r="J26" s="67">
        <v>3.7496181154935027E-2</v>
      </c>
      <c r="K26" s="67">
        <f t="shared" ca="1" si="5"/>
        <v>3.7496181154935027E-2</v>
      </c>
      <c r="L26" s="105">
        <f t="shared" ca="1" si="6"/>
        <v>-0.24667242504666156</v>
      </c>
      <c r="M26" s="67">
        <v>-0.24667242504666156</v>
      </c>
      <c r="N26" s="27"/>
      <c r="O26" s="26">
        <f t="shared" si="14"/>
        <v>-272</v>
      </c>
      <c r="P26" s="26">
        <f t="shared" si="15"/>
        <v>59</v>
      </c>
      <c r="Q26" s="26">
        <f t="shared" si="7"/>
        <v>130</v>
      </c>
      <c r="R26" s="26">
        <f t="shared" si="8"/>
        <v>79</v>
      </c>
      <c r="S26" s="36">
        <f t="shared" si="9"/>
        <v>139</v>
      </c>
      <c r="T26" s="73"/>
      <c r="U26" s="78"/>
      <c r="V26" s="78"/>
      <c r="W26" s="26"/>
      <c r="X26" s="26"/>
      <c r="Y26" s="26"/>
      <c r="Z26" s="26"/>
      <c r="AA26" s="26"/>
      <c r="AB26" s="26"/>
      <c r="AC26" s="73"/>
      <c r="AD26" s="104">
        <f t="shared" si="10"/>
        <v>14</v>
      </c>
      <c r="AE26" s="11"/>
      <c r="AF26" s="12"/>
      <c r="AG26" s="13"/>
      <c r="AH26" s="14"/>
      <c r="AL26" s="219">
        <f>(1+alloc1*Simulator!E26+alloc2*Simulator!F26+alloc3*Simulator!H26+alloc4*Simulator!J26+alloc5*Simulator!M26)</f>
        <v>1.0261252336925533</v>
      </c>
      <c r="AM26" s="215">
        <f>IF(SUM($AM$13:AM25)&lt;&gt;0,0,IF(O26&lt;0,B26-O25,0))</f>
        <v>0</v>
      </c>
      <c r="AN26" s="12">
        <f t="shared" si="16"/>
        <v>0</v>
      </c>
      <c r="AO26" s="12"/>
      <c r="AP26" s="12"/>
      <c r="AQ26" s="211"/>
      <c r="AR26" s="220" t="e">
        <f t="shared" ref="AR26:AR89" si="26">IF(AQ26=SUM(AN13:AN1112),NA(),IF(AQ26&lt;&gt;0,IF(SUM(O26:S26)&lt;0,NA(),SUM(O26:S26)),NA()))</f>
        <v>#N/A</v>
      </c>
      <c r="AS26" s="220" t="e">
        <f t="shared" si="11"/>
        <v>#N/A</v>
      </c>
      <c r="AT26" s="220" t="e">
        <f>IF(AQ26&lt;&gt;0,IF((AT25-B26)*(1+alloc1*Simulator!E26+alloc2*Simulator!F26+alloc3*Simulator!H26+alloc4*Simulator!J26+alloc5*Simulator!M26)&lt;0,NA(),(AT25-B26)*(1+alloc1*Simulator!E26+alloc2*Simulator!F26+alloc3*Simulator!H26+alloc4*Simulator!J26+alloc5*Simulator!M26)),NA())</f>
        <v>#N/A</v>
      </c>
      <c r="AU26" s="219" t="e">
        <f t="shared" si="12"/>
        <v>#N/A</v>
      </c>
      <c r="AV26" s="83">
        <f t="shared" si="18"/>
        <v>3.993720512619622</v>
      </c>
      <c r="AW26" s="85" t="e">
        <f t="shared" si="13"/>
        <v>#DIV/0!</v>
      </c>
      <c r="AX26" s="1">
        <f t="shared" si="19"/>
        <v>4.4825525525374976</v>
      </c>
      <c r="AY26" s="85" t="e">
        <f t="shared" si="20"/>
        <v>#DIV/0!</v>
      </c>
      <c r="AZ26" s="1">
        <f t="shared" si="21"/>
        <v>4.9583518431234976</v>
      </c>
      <c r="BA26" s="85" t="e">
        <f t="shared" si="22"/>
        <v>#DIV/0!</v>
      </c>
      <c r="BB26" s="1">
        <f t="shared" si="23"/>
        <v>9.1292690580487061</v>
      </c>
      <c r="BC26" s="85" t="e">
        <f t="shared" si="24"/>
        <v>#DIV/0!</v>
      </c>
    </row>
    <row r="27" spans="1:55" hidden="1" x14ac:dyDescent="0.25">
      <c r="A27" s="104">
        <f t="shared" si="0"/>
        <v>15</v>
      </c>
      <c r="B27" s="142">
        <f t="shared" si="1"/>
        <v>35.246323491091907</v>
      </c>
      <c r="C27" s="27"/>
      <c r="D27" s="105">
        <f t="shared" si="2"/>
        <v>0.08</v>
      </c>
      <c r="E27" s="67">
        <v>0.08</v>
      </c>
      <c r="F27" s="67">
        <v>8.4998861108601331E-2</v>
      </c>
      <c r="G27" s="67">
        <f t="shared" ca="1" si="3"/>
        <v>8.4998861108601331E-2</v>
      </c>
      <c r="H27" s="67">
        <v>0.19000905003301574</v>
      </c>
      <c r="I27" s="67">
        <f t="shared" ca="1" si="4"/>
        <v>0.19000905003301574</v>
      </c>
      <c r="J27" s="67">
        <v>0.1410101239610374</v>
      </c>
      <c r="K27" s="67">
        <f t="shared" ca="1" si="5"/>
        <v>0.1410101239610374</v>
      </c>
      <c r="L27" s="105">
        <f t="shared" ca="1" si="6"/>
        <v>0.37047865235167432</v>
      </c>
      <c r="M27" s="67">
        <v>0.37047865235167432</v>
      </c>
      <c r="N27" s="27"/>
      <c r="O27" s="26">
        <f t="shared" si="14"/>
        <v>-332</v>
      </c>
      <c r="P27" s="26">
        <f t="shared" si="15"/>
        <v>64</v>
      </c>
      <c r="Q27" s="26">
        <f t="shared" si="7"/>
        <v>155</v>
      </c>
      <c r="R27" s="26">
        <f t="shared" si="8"/>
        <v>90</v>
      </c>
      <c r="S27" s="36">
        <f t="shared" si="9"/>
        <v>190</v>
      </c>
      <c r="T27" s="73"/>
      <c r="U27" s="78"/>
      <c r="V27" s="78"/>
      <c r="W27" s="26"/>
      <c r="X27" s="26"/>
      <c r="Y27" s="26"/>
      <c r="Z27" s="26"/>
      <c r="AA27" s="26"/>
      <c r="AB27" s="26"/>
      <c r="AC27" s="73"/>
      <c r="AD27" s="104">
        <f t="shared" si="10"/>
        <v>15</v>
      </c>
      <c r="AE27" s="11"/>
      <c r="AF27" s="12"/>
      <c r="AG27" s="13"/>
      <c r="AH27" s="14"/>
      <c r="AL27" s="219">
        <f>(1+alloc1*Simulator!E27+alloc2*Simulator!F27+alloc3*Simulator!H27+alloc4*Simulator!J27+alloc5*Simulator!M27)</f>
        <v>1.1376505737487344</v>
      </c>
      <c r="AM27" s="215">
        <f>IF(SUM($AM$13:AM26)&lt;&gt;0,0,IF(O27&lt;0,B27-O26,0))</f>
        <v>0</v>
      </c>
      <c r="AN27" s="12">
        <f t="shared" si="16"/>
        <v>0</v>
      </c>
      <c r="AO27" s="12"/>
      <c r="AP27" s="12"/>
      <c r="AQ27" s="211"/>
      <c r="AR27" s="220" t="e">
        <f t="shared" si="26"/>
        <v>#N/A</v>
      </c>
      <c r="AS27" s="220" t="e">
        <f t="shared" si="11"/>
        <v>#N/A</v>
      </c>
      <c r="AT27" s="220" t="e">
        <f>IF(AQ27&lt;&gt;0,IF((AT26-B27)*(1+alloc1*Simulator!E27+alloc2*Simulator!F27+alloc3*Simulator!H27+alloc4*Simulator!J27+alloc5*Simulator!M27)&lt;0,NA(),(AT26-B27)*(1+alloc1*Simulator!E27+alloc2*Simulator!F27+alloc3*Simulator!H27+alloc4*Simulator!J27+alloc5*Simulator!M27)),NA())</f>
        <v>#N/A</v>
      </c>
      <c r="AU27" s="219" t="e">
        <f t="shared" si="12"/>
        <v>#N/A</v>
      </c>
      <c r="AV27" s="83">
        <f t="shared" si="18"/>
        <v>4.3331822077783499</v>
      </c>
      <c r="AW27" s="85" t="e">
        <f t="shared" si="13"/>
        <v>#DIV/0!</v>
      </c>
      <c r="AX27" s="1">
        <f t="shared" si="19"/>
        <v>5.3342781047682175</v>
      </c>
      <c r="AY27" s="85" t="e">
        <f t="shared" si="20"/>
        <v>#DIV/0!</v>
      </c>
      <c r="AZ27" s="1">
        <f t="shared" si="21"/>
        <v>5.657529651164781</v>
      </c>
      <c r="BA27" s="85" t="e">
        <f t="shared" si="22"/>
        <v>#DIV/0!</v>
      </c>
      <c r="BB27" s="1">
        <f t="shared" si="23"/>
        <v>12.511468355630431</v>
      </c>
      <c r="BC27" s="85" t="e">
        <f t="shared" si="24"/>
        <v>#DIV/0!</v>
      </c>
    </row>
    <row r="28" spans="1:55" ht="11.4" hidden="1" customHeight="1" x14ac:dyDescent="0.25">
      <c r="A28" s="104">
        <f t="shared" si="0"/>
        <v>16</v>
      </c>
      <c r="B28" s="142">
        <f t="shared" si="1"/>
        <v>38.066029370379255</v>
      </c>
      <c r="C28" s="27"/>
      <c r="D28" s="105">
        <f t="shared" si="2"/>
        <v>0.08</v>
      </c>
      <c r="E28" s="67">
        <v>0.08</v>
      </c>
      <c r="F28" s="67">
        <v>7.4762053827329283E-2</v>
      </c>
      <c r="G28" s="67">
        <f t="shared" ca="1" si="3"/>
        <v>7.4762053827329283E-2</v>
      </c>
      <c r="H28" s="67">
        <v>0.19291474666348163</v>
      </c>
      <c r="I28" s="67">
        <f t="shared" ca="1" si="4"/>
        <v>0.19291474666348163</v>
      </c>
      <c r="J28" s="67">
        <v>0.31362581187253558</v>
      </c>
      <c r="K28" s="67">
        <f t="shared" ca="1" si="5"/>
        <v>0.31362581187253558</v>
      </c>
      <c r="L28" s="105">
        <f t="shared" ca="1" si="6"/>
        <v>-0.42710939146382254</v>
      </c>
      <c r="M28" s="67">
        <v>-0.42710939146382254</v>
      </c>
      <c r="N28" s="27"/>
      <c r="O28" s="26">
        <f t="shared" si="14"/>
        <v>-400</v>
      </c>
      <c r="P28" s="26">
        <f t="shared" si="15"/>
        <v>69</v>
      </c>
      <c r="Q28" s="26">
        <f t="shared" si="7"/>
        <v>185</v>
      </c>
      <c r="R28" s="26">
        <f t="shared" si="8"/>
        <v>118</v>
      </c>
      <c r="S28" s="36">
        <f t="shared" si="9"/>
        <v>109</v>
      </c>
      <c r="T28" s="73"/>
      <c r="U28" s="78"/>
      <c r="V28" s="78"/>
      <c r="W28" s="26"/>
      <c r="X28" s="26"/>
      <c r="Y28" s="26"/>
      <c r="Z28" s="26"/>
      <c r="AA28" s="26"/>
      <c r="AB28" s="26"/>
      <c r="AC28" s="73"/>
      <c r="AD28" s="104">
        <f t="shared" si="10"/>
        <v>16</v>
      </c>
      <c r="AE28" s="11"/>
      <c r="AF28" s="12"/>
      <c r="AG28" s="15"/>
      <c r="AH28" s="14"/>
      <c r="AL28" s="219">
        <f>(1+alloc1*Simulator!E28+alloc2*Simulator!F28+alloc3*Simulator!H28+alloc4*Simulator!J28+alloc5*Simulator!M28)</f>
        <v>1.0747107967563005</v>
      </c>
      <c r="AM28" s="215">
        <f>IF(SUM($AM$13:AM27)&lt;&gt;0,0,IF(O28&lt;0,B28-O27,0))</f>
        <v>0</v>
      </c>
      <c r="AN28" s="12">
        <f t="shared" si="16"/>
        <v>0</v>
      </c>
      <c r="AO28" s="12"/>
      <c r="AP28" s="12"/>
      <c r="AQ28" s="211"/>
      <c r="AR28" s="220" t="e">
        <f t="shared" si="26"/>
        <v>#N/A</v>
      </c>
      <c r="AS28" s="220" t="e">
        <f t="shared" si="11"/>
        <v>#N/A</v>
      </c>
      <c r="AT28" s="220" t="e">
        <f>IF(AQ28&lt;&gt;0,IF((AT27-B28)*(1+alloc1*Simulator!E28+alloc2*Simulator!F28+alloc3*Simulator!H28+alloc4*Simulator!J28+alloc5*Simulator!M28)&lt;0,NA(),(AT27-B28)*(1+alloc1*Simulator!E28+alloc2*Simulator!F28+alloc3*Simulator!H28+alloc4*Simulator!J28+alloc5*Simulator!M28)),NA())</f>
        <v>#N/A</v>
      </c>
      <c r="AU28" s="219" t="e">
        <f t="shared" si="12"/>
        <v>#N/A</v>
      </c>
      <c r="AV28" s="83">
        <f t="shared" si="18"/>
        <v>4.6571398092399008</v>
      </c>
      <c r="AW28" s="85" t="e">
        <f t="shared" si="13"/>
        <v>#DIV/0!</v>
      </c>
      <c r="AX28" s="1">
        <f t="shared" si="19"/>
        <v>6.3633390139821353</v>
      </c>
      <c r="AY28" s="85" t="e">
        <f t="shared" si="20"/>
        <v>#DIV/0!</v>
      </c>
      <c r="AZ28" s="1">
        <f t="shared" si="21"/>
        <v>7.4318769812042778</v>
      </c>
      <c r="BA28" s="85" t="e">
        <f t="shared" si="22"/>
        <v>#DIV/0!</v>
      </c>
      <c r="BB28" s="1">
        <f t="shared" si="23"/>
        <v>7.1677027199382453</v>
      </c>
      <c r="BC28" s="85" t="e">
        <f t="shared" si="24"/>
        <v>#DIV/0!</v>
      </c>
    </row>
    <row r="29" spans="1:55" hidden="1" x14ac:dyDescent="0.25">
      <c r="A29" s="104">
        <f t="shared" si="0"/>
        <v>17</v>
      </c>
      <c r="B29" s="142">
        <f t="shared" si="1"/>
        <v>41.111311720009596</v>
      </c>
      <c r="C29" s="27"/>
      <c r="D29" s="105">
        <f t="shared" si="2"/>
        <v>0.08</v>
      </c>
      <c r="E29" s="67">
        <v>0.08</v>
      </c>
      <c r="F29" s="67">
        <v>9.2796126254121758E-2</v>
      </c>
      <c r="G29" s="67">
        <f t="shared" ca="1" si="3"/>
        <v>9.2796126254121758E-2</v>
      </c>
      <c r="H29" s="67">
        <v>-8.8264826816782022E-2</v>
      </c>
      <c r="I29" s="67">
        <f t="shared" ca="1" si="4"/>
        <v>-8.8264826816782022E-2</v>
      </c>
      <c r="J29" s="67">
        <v>0.21754050937894309</v>
      </c>
      <c r="K29" s="67">
        <f t="shared" ca="1" si="5"/>
        <v>0.21754050937894309</v>
      </c>
      <c r="L29" s="105">
        <f t="shared" ca="1" si="6"/>
        <v>0.18205580928775703</v>
      </c>
      <c r="M29" s="67">
        <v>0.18205580928775703</v>
      </c>
      <c r="N29" s="27"/>
      <c r="O29" s="26">
        <f t="shared" si="14"/>
        <v>-476</v>
      </c>
      <c r="P29" s="26">
        <f t="shared" si="15"/>
        <v>75</v>
      </c>
      <c r="Q29" s="26">
        <f t="shared" si="7"/>
        <v>169</v>
      </c>
      <c r="R29" s="26">
        <f t="shared" si="8"/>
        <v>144</v>
      </c>
      <c r="S29" s="36">
        <f t="shared" si="9"/>
        <v>129</v>
      </c>
      <c r="T29" s="73"/>
      <c r="U29" s="78"/>
      <c r="V29" s="78"/>
      <c r="W29" s="26"/>
      <c r="X29" s="26"/>
      <c r="Y29" s="26"/>
      <c r="Z29" s="26"/>
      <c r="AA29" s="26"/>
      <c r="AB29" s="26"/>
      <c r="AC29" s="73"/>
      <c r="AD29" s="104">
        <f t="shared" si="10"/>
        <v>17</v>
      </c>
      <c r="AE29" s="11"/>
      <c r="AF29" s="12"/>
      <c r="AG29" s="13"/>
      <c r="AH29" s="16"/>
      <c r="AL29" s="219">
        <f>(1+alloc1*Simulator!E29+alloc2*Simulator!F29+alloc3*Simulator!H29+alloc4*Simulator!J29+alloc5*Simulator!M29)</f>
        <v>1.0715862791287261</v>
      </c>
      <c r="AM29" s="215">
        <f>IF(SUM($AM$13:AM28)&lt;&gt;0,0,IF(O29&lt;0,B29-O28,0))</f>
        <v>0</v>
      </c>
      <c r="AN29" s="12">
        <f t="shared" si="16"/>
        <v>0</v>
      </c>
      <c r="AO29" s="12"/>
      <c r="AP29" s="12"/>
      <c r="AQ29" s="211"/>
      <c r="AR29" s="220" t="e">
        <f t="shared" si="26"/>
        <v>#N/A</v>
      </c>
      <c r="AS29" s="220" t="e">
        <f t="shared" si="11"/>
        <v>#N/A</v>
      </c>
      <c r="AT29" s="220" t="e">
        <f>IF(AQ29&lt;&gt;0,IF((AT28-B29)*(1+alloc1*Simulator!E29+alloc2*Simulator!F29+alloc3*Simulator!H29+alloc4*Simulator!J29+alloc5*Simulator!M29)&lt;0,NA(),(AT28-B29)*(1+alloc1*Simulator!E29+alloc2*Simulator!F29+alloc3*Simulator!H29+alloc4*Simulator!J29+alloc5*Simulator!M29)),NA())</f>
        <v>#N/A</v>
      </c>
      <c r="AU29" s="219" t="e">
        <f t="shared" si="12"/>
        <v>#N/A</v>
      </c>
      <c r="AV29" s="83">
        <f t="shared" si="18"/>
        <v>5.0893043429612232</v>
      </c>
      <c r="AW29" s="85" t="e">
        <f t="shared" si="13"/>
        <v>#DIV/0!</v>
      </c>
      <c r="AX29" s="1">
        <f t="shared" si="19"/>
        <v>5.8016799979365299</v>
      </c>
      <c r="AY29" s="85" t="e">
        <f t="shared" si="20"/>
        <v>#DIV/0!</v>
      </c>
      <c r="AZ29" s="1">
        <f t="shared" si="21"/>
        <v>9.048611285337099</v>
      </c>
      <c r="BA29" s="85" t="e">
        <f t="shared" si="22"/>
        <v>#DIV/0!</v>
      </c>
      <c r="BB29" s="1">
        <f t="shared" si="23"/>
        <v>8.472624639350661</v>
      </c>
      <c r="BC29" s="85" t="e">
        <f t="shared" si="24"/>
        <v>#DIV/0!</v>
      </c>
    </row>
    <row r="30" spans="1:55" hidden="1" x14ac:dyDescent="0.25">
      <c r="A30" s="104">
        <f t="shared" si="0"/>
        <v>18</v>
      </c>
      <c r="B30" s="142">
        <f t="shared" si="1"/>
        <v>44.400216657610365</v>
      </c>
      <c r="C30" s="27"/>
      <c r="D30" s="105">
        <f t="shared" si="2"/>
        <v>0.08</v>
      </c>
      <c r="E30" s="67">
        <v>0.08</v>
      </c>
      <c r="F30" s="67">
        <v>6.3982486288179125E-2</v>
      </c>
      <c r="G30" s="67">
        <f t="shared" ca="1" si="3"/>
        <v>6.3982486288179125E-2</v>
      </c>
      <c r="H30" s="67">
        <v>0.29522214368165722</v>
      </c>
      <c r="I30" s="67">
        <f t="shared" ca="1" si="4"/>
        <v>0.29522214368165722</v>
      </c>
      <c r="J30" s="67">
        <v>0.12433017870601684</v>
      </c>
      <c r="K30" s="67">
        <f t="shared" ca="1" si="5"/>
        <v>0.12433017870601684</v>
      </c>
      <c r="L30" s="105">
        <f t="shared" ca="1" si="6"/>
        <v>6.086940233165411E-2</v>
      </c>
      <c r="M30" s="67">
        <v>6.086940233165411E-2</v>
      </c>
      <c r="N30" s="27"/>
      <c r="O30" s="26">
        <f t="shared" si="14"/>
        <v>-562</v>
      </c>
      <c r="P30" s="26">
        <f t="shared" si="15"/>
        <v>80</v>
      </c>
      <c r="Q30" s="26">
        <f t="shared" si="7"/>
        <v>219</v>
      </c>
      <c r="R30" s="26">
        <f t="shared" si="8"/>
        <v>162</v>
      </c>
      <c r="S30" s="36">
        <f t="shared" si="9"/>
        <v>137</v>
      </c>
      <c r="T30" s="73"/>
      <c r="U30" s="78"/>
      <c r="V30" s="78"/>
      <c r="W30" s="26"/>
      <c r="X30" s="26"/>
      <c r="Y30" s="26"/>
      <c r="Z30" s="26"/>
      <c r="AA30" s="26"/>
      <c r="AB30" s="26"/>
      <c r="AC30" s="73"/>
      <c r="AD30" s="104">
        <f t="shared" si="10"/>
        <v>18</v>
      </c>
      <c r="AE30" s="11"/>
      <c r="AF30" s="12"/>
      <c r="AG30" s="12"/>
      <c r="AH30" s="12"/>
      <c r="AL30" s="219">
        <f>(1+alloc1*Simulator!E30+alloc2*Simulator!F30+alloc3*Simulator!H30+alloc4*Simulator!J30+alloc5*Simulator!M30)</f>
        <v>1.1239626354689163</v>
      </c>
      <c r="AM30" s="215">
        <f>IF(SUM($AM$13:AM29)&lt;&gt;0,0,IF(O30&lt;0,B30-O29,0))</f>
        <v>0</v>
      </c>
      <c r="AN30" s="12">
        <f t="shared" si="16"/>
        <v>0</v>
      </c>
      <c r="AO30" s="12"/>
      <c r="AP30" s="12"/>
      <c r="AQ30" s="211"/>
      <c r="AR30" s="220" t="e">
        <f t="shared" si="26"/>
        <v>#N/A</v>
      </c>
      <c r="AS30" s="220" t="e">
        <f t="shared" si="11"/>
        <v>#N/A</v>
      </c>
      <c r="AT30" s="220" t="e">
        <f>IF(AQ30&lt;&gt;0,IF((AT29-B30)*(1+alloc1*Simulator!E30+alloc2*Simulator!F30+alloc3*Simulator!H30+alloc4*Simulator!J30+alloc5*Simulator!M30)&lt;0,NA(),(AT29-B30)*(1+alloc1*Simulator!E30+alloc2*Simulator!F30+alloc3*Simulator!H30+alloc4*Simulator!J30+alloc5*Simulator!M30)),NA())</f>
        <v>#N/A</v>
      </c>
      <c r="AU30" s="219" t="e">
        <f t="shared" si="12"/>
        <v>#N/A</v>
      </c>
      <c r="AV30" s="83">
        <f t="shared" si="18"/>
        <v>5.4149306883011095</v>
      </c>
      <c r="AW30" s="85" t="e">
        <f t="shared" si="13"/>
        <v>#DIV/0!</v>
      </c>
      <c r="AX30" s="1">
        <f t="shared" si="19"/>
        <v>7.5144644038823438</v>
      </c>
      <c r="AY30" s="85" t="e">
        <f t="shared" si="20"/>
        <v>#DIV/0!</v>
      </c>
      <c r="AZ30" s="1">
        <f t="shared" si="21"/>
        <v>10.173626743484341</v>
      </c>
      <c r="BA30" s="85" t="e">
        <f t="shared" si="22"/>
        <v>#DIV/0!</v>
      </c>
      <c r="BB30" s="1">
        <f t="shared" si="23"/>
        <v>8.9883482373283812</v>
      </c>
      <c r="BC30" s="85" t="e">
        <f t="shared" si="24"/>
        <v>#DIV/0!</v>
      </c>
    </row>
    <row r="31" spans="1:55" hidden="1" x14ac:dyDescent="0.25">
      <c r="A31" s="104">
        <f t="shared" si="0"/>
        <v>19</v>
      </c>
      <c r="B31" s="142">
        <f t="shared" si="1"/>
        <v>47.952233990219199</v>
      </c>
      <c r="C31" s="27"/>
      <c r="D31" s="105">
        <f t="shared" si="2"/>
        <v>0.08</v>
      </c>
      <c r="E31" s="67">
        <v>0.08</v>
      </c>
      <c r="F31" s="67">
        <v>8.2178740531991562E-2</v>
      </c>
      <c r="G31" s="67">
        <f t="shared" ca="1" si="3"/>
        <v>8.2178740531991562E-2</v>
      </c>
      <c r="H31" s="67">
        <v>0.11959147025972473</v>
      </c>
      <c r="I31" s="67">
        <f t="shared" ca="1" si="4"/>
        <v>0.11959147025972473</v>
      </c>
      <c r="J31" s="67">
        <v>0.1703872019771614</v>
      </c>
      <c r="K31" s="67">
        <f t="shared" ca="1" si="5"/>
        <v>0.1703872019771614</v>
      </c>
      <c r="L31" s="105">
        <f t="shared" ca="1" si="6"/>
        <v>0.60711777700032588</v>
      </c>
      <c r="M31" s="67">
        <v>0.60711777700032588</v>
      </c>
      <c r="N31" s="27"/>
      <c r="O31" s="26">
        <f t="shared" si="14"/>
        <v>-659</v>
      </c>
      <c r="P31" s="26">
        <f t="shared" si="15"/>
        <v>87</v>
      </c>
      <c r="Q31" s="26">
        <f t="shared" si="7"/>
        <v>245</v>
      </c>
      <c r="R31" s="26">
        <f t="shared" si="8"/>
        <v>190</v>
      </c>
      <c r="S31" s="36">
        <f t="shared" si="9"/>
        <v>220</v>
      </c>
      <c r="T31" s="73"/>
      <c r="U31" s="78"/>
      <c r="V31" s="78"/>
      <c r="W31" s="26"/>
      <c r="X31" s="26"/>
      <c r="Y31" s="26"/>
      <c r="Z31" s="26"/>
      <c r="AA31" s="26"/>
      <c r="AB31" s="26"/>
      <c r="AC31" s="73"/>
      <c r="AD31" s="104">
        <f t="shared" si="10"/>
        <v>19</v>
      </c>
      <c r="AE31" s="11"/>
      <c r="AF31" s="12"/>
      <c r="AG31" s="12"/>
      <c r="AH31" s="12"/>
      <c r="AL31" s="219">
        <f>(1+alloc1*Simulator!E31+alloc2*Simulator!F31+alloc3*Simulator!H31+alloc4*Simulator!J31+alloc5*Simulator!M31)</f>
        <v>1.1498866660028928</v>
      </c>
      <c r="AM31" s="215">
        <f>IF(SUM($AM$13:AM30)&lt;&gt;0,0,IF(O31&lt;0,B31-O30,0))</f>
        <v>0</v>
      </c>
      <c r="AN31" s="12">
        <f t="shared" si="16"/>
        <v>0</v>
      </c>
      <c r="AO31" s="12"/>
      <c r="AP31" s="12"/>
      <c r="AQ31" s="211"/>
      <c r="AR31" s="220" t="e">
        <f t="shared" si="26"/>
        <v>#N/A</v>
      </c>
      <c r="AS31" s="220" t="e">
        <f t="shared" si="11"/>
        <v>#N/A</v>
      </c>
      <c r="AT31" s="220" t="e">
        <f>IF(AQ31&lt;&gt;0,IF((AT30-B31)*(1+alloc1*Simulator!E31+alloc2*Simulator!F31+alloc3*Simulator!H31+alloc4*Simulator!J31+alloc5*Simulator!M31)&lt;0,NA(),(AT30-B31)*(1+alloc1*Simulator!E31+alloc2*Simulator!F31+alloc3*Simulator!H31+alloc4*Simulator!J31+alloc5*Simulator!M31)),NA())</f>
        <v>#N/A</v>
      </c>
      <c r="AU31" s="219" t="e">
        <f t="shared" si="12"/>
        <v>#N/A</v>
      </c>
      <c r="AV31" s="83">
        <f t="shared" si="18"/>
        <v>5.8599228723337253</v>
      </c>
      <c r="AW31" s="85" t="e">
        <f t="shared" si="13"/>
        <v>#DIV/0!</v>
      </c>
      <c r="AX31" s="1">
        <f t="shared" si="19"/>
        <v>8.4131302501569998</v>
      </c>
      <c r="AY31" s="85" t="e">
        <f t="shared" si="20"/>
        <v>#DIV/0!</v>
      </c>
      <c r="AZ31" s="1">
        <f t="shared" si="21"/>
        <v>11.907082538266659</v>
      </c>
      <c r="BA31" s="85" t="e">
        <f t="shared" si="22"/>
        <v>#DIV/0!</v>
      </c>
      <c r="BB31" s="1">
        <f t="shared" si="23"/>
        <v>14.445334238079987</v>
      </c>
      <c r="BC31" s="85" t="e">
        <f t="shared" si="24"/>
        <v>#DIV/0!</v>
      </c>
    </row>
    <row r="32" spans="1:55" hidden="1" x14ac:dyDescent="0.25">
      <c r="A32" s="104">
        <f t="shared" si="0"/>
        <v>20</v>
      </c>
      <c r="B32" s="142">
        <f t="shared" si="1"/>
        <v>51.788412709436741</v>
      </c>
      <c r="C32" s="27"/>
      <c r="D32" s="105">
        <f t="shared" si="2"/>
        <v>0.08</v>
      </c>
      <c r="E32" s="67">
        <v>0.08</v>
      </c>
      <c r="F32" s="67">
        <v>6.4730445005062018E-2</v>
      </c>
      <c r="G32" s="67">
        <f t="shared" ca="1" si="3"/>
        <v>6.4730445005062018E-2</v>
      </c>
      <c r="H32" s="67">
        <v>0.1529621333631106</v>
      </c>
      <c r="I32" s="67">
        <f t="shared" ca="1" si="4"/>
        <v>0.1529621333631106</v>
      </c>
      <c r="J32" s="67">
        <v>0.22720521006614247</v>
      </c>
      <c r="K32" s="67">
        <f t="shared" ca="1" si="5"/>
        <v>0.22720521006614247</v>
      </c>
      <c r="L32" s="105">
        <f t="shared" ca="1" si="6"/>
        <v>0.84546611865304477</v>
      </c>
      <c r="M32" s="67">
        <v>0.84546611865304477</v>
      </c>
      <c r="N32" s="27"/>
      <c r="O32" s="26">
        <f t="shared" si="14"/>
        <v>-768</v>
      </c>
      <c r="P32" s="26">
        <f t="shared" si="15"/>
        <v>93</v>
      </c>
      <c r="Q32" s="26">
        <f t="shared" si="7"/>
        <v>282</v>
      </c>
      <c r="R32" s="26">
        <f t="shared" si="8"/>
        <v>233</v>
      </c>
      <c r="S32" s="36">
        <f t="shared" si="9"/>
        <v>406</v>
      </c>
      <c r="T32" s="73"/>
      <c r="U32" s="78"/>
      <c r="V32" s="78"/>
      <c r="W32" s="26"/>
      <c r="X32" s="26"/>
      <c r="Y32" s="26"/>
      <c r="Z32" s="26"/>
      <c r="AA32" s="26"/>
      <c r="AB32" s="26"/>
      <c r="AC32" s="73"/>
      <c r="AD32" s="104">
        <f t="shared" si="10"/>
        <v>20</v>
      </c>
      <c r="AE32" s="11"/>
      <c r="AF32" s="81"/>
      <c r="AG32" s="81"/>
      <c r="AH32" s="81"/>
      <c r="AL32" s="219">
        <f>(1+alloc1*Simulator!E32+alloc2*Simulator!F32+alloc3*Simulator!H32+alloc4*Simulator!J32+alloc5*Simulator!M32)</f>
        <v>1.1843326040450468</v>
      </c>
      <c r="AM32" s="215">
        <f>IF(SUM($AM$13:AM31)&lt;&gt;0,0,IF(O32&lt;0,B32-O31,0))</f>
        <v>0</v>
      </c>
      <c r="AN32" s="12">
        <f t="shared" si="16"/>
        <v>0</v>
      </c>
      <c r="AO32" s="12"/>
      <c r="AP32" s="12"/>
      <c r="AQ32" s="212"/>
      <c r="AR32" s="220" t="e">
        <f t="shared" si="26"/>
        <v>#N/A</v>
      </c>
      <c r="AS32" s="220" t="e">
        <f t="shared" si="11"/>
        <v>#N/A</v>
      </c>
      <c r="AT32" s="220" t="e">
        <f>IF(AQ32&lt;&gt;0,IF((AT31-B32)*(1+alloc1*Simulator!E32+alloc2*Simulator!F32+alloc3*Simulator!H32+alloc4*Simulator!J32+alloc5*Simulator!M32)&lt;0,NA(),(AT31-B32)*(1+alloc1*Simulator!E32+alloc2*Simulator!F32+alloc3*Simulator!H32+alloc4*Simulator!J32+alloc5*Simulator!M32)),NA())</f>
        <v>#N/A</v>
      </c>
      <c r="AU32" s="219" t="e">
        <f t="shared" si="12"/>
        <v>#N/A</v>
      </c>
      <c r="AV32" s="83">
        <f t="shared" si="18"/>
        <v>6.2392382875552288</v>
      </c>
      <c r="AW32" s="85" t="e">
        <f t="shared" si="13"/>
        <v>#DIV/0!</v>
      </c>
      <c r="AX32" s="1">
        <f t="shared" si="19"/>
        <v>9.7000206014827342</v>
      </c>
      <c r="AY32" s="85" t="e">
        <f t="shared" si="20"/>
        <v>#DIV/0!</v>
      </c>
      <c r="AZ32" s="1">
        <f t="shared" si="21"/>
        <v>14.61243372764843</v>
      </c>
      <c r="BA32" s="85" t="e">
        <f t="shared" si="22"/>
        <v>#DIV/0!</v>
      </c>
      <c r="BB32" s="1">
        <f t="shared" si="23"/>
        <v>26.658374908995413</v>
      </c>
      <c r="BC32" s="85" t="e">
        <f t="shared" si="24"/>
        <v>#DIV/0!</v>
      </c>
    </row>
    <row r="33" spans="1:55" hidden="1" x14ac:dyDescent="0.25">
      <c r="A33" s="104">
        <f t="shared" si="0"/>
        <v>21</v>
      </c>
      <c r="B33" s="142">
        <f t="shared" si="1"/>
        <v>55.931485726191681</v>
      </c>
      <c r="C33" s="27"/>
      <c r="D33" s="105">
        <f t="shared" si="2"/>
        <v>0.08</v>
      </c>
      <c r="E33" s="67">
        <v>0.08</v>
      </c>
      <c r="F33" s="67">
        <v>7.6728966069490451E-2</v>
      </c>
      <c r="G33" s="67">
        <f t="shared" ca="1" si="3"/>
        <v>7.6728966069490451E-2</v>
      </c>
      <c r="H33" s="67">
        <v>0.20908394597278479</v>
      </c>
      <c r="I33" s="67">
        <f t="shared" ca="1" si="4"/>
        <v>0.20908394597278479</v>
      </c>
      <c r="J33" s="67">
        <v>0.31201469113426422</v>
      </c>
      <c r="K33" s="67">
        <f t="shared" ca="1" si="5"/>
        <v>0.31201469113426422</v>
      </c>
      <c r="L33" s="105">
        <f t="shared" ca="1" si="6"/>
        <v>0.11565036528148634</v>
      </c>
      <c r="M33" s="67">
        <v>0.11565036528148634</v>
      </c>
      <c r="N33" s="27"/>
      <c r="O33" s="26">
        <f t="shared" si="14"/>
        <v>-890</v>
      </c>
      <c r="P33" s="26">
        <f t="shared" si="15"/>
        <v>100</v>
      </c>
      <c r="Q33" s="26">
        <f t="shared" si="7"/>
        <v>341</v>
      </c>
      <c r="R33" s="26">
        <f t="shared" si="8"/>
        <v>306</v>
      </c>
      <c r="S33" s="36">
        <f t="shared" si="9"/>
        <v>453</v>
      </c>
      <c r="T33" s="73"/>
      <c r="U33" s="78"/>
      <c r="V33" s="78"/>
      <c r="W33" s="26"/>
      <c r="X33" s="26"/>
      <c r="Y33" s="26"/>
      <c r="Z33" s="26"/>
      <c r="AA33" s="26"/>
      <c r="AB33" s="26"/>
      <c r="AC33" s="73"/>
      <c r="AD33" s="104">
        <f t="shared" si="10"/>
        <v>21</v>
      </c>
      <c r="AE33" s="11"/>
      <c r="AF33" s="17"/>
      <c r="AG33" s="18"/>
      <c r="AH33" s="19"/>
      <c r="AL33" s="219">
        <f>(1+alloc1*Simulator!E33+alloc2*Simulator!F33+alloc3*Simulator!H33+alloc4*Simulator!J33+alloc5*Simulator!M33)</f>
        <v>1.1322561914430809</v>
      </c>
      <c r="AM33" s="215">
        <f>IF(SUM($AM$13:AM32)&lt;&gt;0,0,IF(O33&lt;0,B33-O32,0))</f>
        <v>0</v>
      </c>
      <c r="AN33" s="12">
        <f t="shared" si="16"/>
        <v>0</v>
      </c>
      <c r="AO33" s="12"/>
      <c r="AP33" s="12"/>
      <c r="AQ33" s="213"/>
      <c r="AR33" s="145" t="e">
        <f t="shared" si="26"/>
        <v>#N/A</v>
      </c>
      <c r="AS33" s="146" t="e">
        <f t="shared" si="11"/>
        <v>#N/A</v>
      </c>
      <c r="AT33" s="220" t="e">
        <f>IF(AQ33&lt;&gt;0,IF((AT32-B33)*(1+alloc1*Simulator!E33+alloc2*Simulator!F33+alloc3*Simulator!H33+alloc4*Simulator!J33+alloc5*Simulator!M33)&lt;0,NA(),(AT32-B33)*(1+alloc1*Simulator!E33+alloc2*Simulator!F33+alloc3*Simulator!H33+alloc4*Simulator!J33+alloc5*Simulator!M33)),NA())</f>
        <v>#N/A</v>
      </c>
      <c r="AU33" s="219" t="e">
        <f t="shared" si="12"/>
        <v>#N/A</v>
      </c>
      <c r="AV33" s="83">
        <f t="shared" si="18"/>
        <v>6.7179685904205204</v>
      </c>
      <c r="AW33" s="85" t="e">
        <f t="shared" si="13"/>
        <v>#DIV/0!</v>
      </c>
      <c r="AX33" s="1">
        <f t="shared" si="19"/>
        <v>11.728139184858048</v>
      </c>
      <c r="AY33" s="85" t="e">
        <f t="shared" si="20"/>
        <v>#DIV/0!</v>
      </c>
      <c r="AZ33" s="1">
        <f t="shared" si="21"/>
        <v>19.17172772390056</v>
      </c>
      <c r="BA33" s="85" t="e">
        <f t="shared" si="22"/>
        <v>#DIV/0!</v>
      </c>
      <c r="BB33" s="1">
        <f t="shared" si="23"/>
        <v>29.741425705031546</v>
      </c>
      <c r="BC33" s="85" t="e">
        <f t="shared" si="24"/>
        <v>#DIV/0!</v>
      </c>
    </row>
    <row r="34" spans="1:55" hidden="1" x14ac:dyDescent="0.25">
      <c r="A34" s="104">
        <f t="shared" si="0"/>
        <v>22</v>
      </c>
      <c r="B34" s="142">
        <f t="shared" si="1"/>
        <v>60.406004584287011</v>
      </c>
      <c r="C34" s="27"/>
      <c r="D34" s="105">
        <f t="shared" si="2"/>
        <v>0.08</v>
      </c>
      <c r="E34" s="67">
        <v>0.08</v>
      </c>
      <c r="F34" s="67">
        <v>6.5823565453567087E-2</v>
      </c>
      <c r="G34" s="67">
        <f t="shared" ca="1" si="3"/>
        <v>6.5823565453567087E-2</v>
      </c>
      <c r="H34" s="67">
        <v>0.13581338026871634</v>
      </c>
      <c r="I34" s="67">
        <f t="shared" ca="1" si="4"/>
        <v>0.13581338026871634</v>
      </c>
      <c r="J34" s="67">
        <v>0.25282768318496096</v>
      </c>
      <c r="K34" s="67">
        <f t="shared" ca="1" si="5"/>
        <v>0.25282768318496096</v>
      </c>
      <c r="L34" s="105">
        <f t="shared" ca="1" si="6"/>
        <v>0.306012003350978</v>
      </c>
      <c r="M34" s="67">
        <v>0.306012003350978</v>
      </c>
      <c r="N34" s="27"/>
      <c r="O34" s="26">
        <f t="shared" si="14"/>
        <v>-1026</v>
      </c>
      <c r="P34" s="26">
        <f t="shared" si="15"/>
        <v>107</v>
      </c>
      <c r="Q34" s="26">
        <f t="shared" si="7"/>
        <v>387</v>
      </c>
      <c r="R34" s="26">
        <f t="shared" si="8"/>
        <v>383</v>
      </c>
      <c r="S34" s="36">
        <f t="shared" si="9"/>
        <v>592</v>
      </c>
      <c r="T34" s="73"/>
      <c r="U34" s="78"/>
      <c r="V34" s="78"/>
      <c r="W34" s="26"/>
      <c r="X34" s="26"/>
      <c r="Y34" s="26"/>
      <c r="Z34" s="26"/>
      <c r="AA34" s="26"/>
      <c r="AB34" s="26"/>
      <c r="AC34" s="73"/>
      <c r="AD34" s="104">
        <f t="shared" si="10"/>
        <v>22</v>
      </c>
      <c r="AE34" s="11"/>
      <c r="AF34" s="20"/>
      <c r="AG34" s="20"/>
      <c r="AH34" s="20"/>
      <c r="AL34" s="219">
        <f>(1+alloc1*Simulator!E34+alloc2*Simulator!F34+alloc3*Simulator!H34+alloc4*Simulator!J34+alloc5*Simulator!M34)</f>
        <v>1.1296290012526939</v>
      </c>
      <c r="AM34" s="215">
        <f>IF(SUM($AM$13:AM33)&lt;&gt;0,0,IF(O34&lt;0,B34-O33,0))</f>
        <v>0</v>
      </c>
      <c r="AN34" s="12">
        <f t="shared" si="16"/>
        <v>0</v>
      </c>
      <c r="AO34" s="12"/>
      <c r="AP34" s="12"/>
      <c r="AQ34" s="213"/>
      <c r="AR34" s="145" t="e">
        <f t="shared" si="26"/>
        <v>#N/A</v>
      </c>
      <c r="AS34" s="146" t="e">
        <f t="shared" si="11"/>
        <v>#N/A</v>
      </c>
      <c r="AT34" s="220" t="e">
        <f>IF(AQ34&lt;&gt;0,IF((AT33-B34)*(1+alloc1*Simulator!E34+alloc2*Simulator!F34+alloc3*Simulator!H34+alloc4*Simulator!J34+alloc5*Simulator!M34)&lt;0,NA(),(AT33-B34)*(1+alloc1*Simulator!E34+alloc2*Simulator!F34+alloc3*Simulator!H34+alloc4*Simulator!J34+alloc5*Simulator!M34)),NA())</f>
        <v>#N/A</v>
      </c>
      <c r="AU34" s="219" t="e">
        <f t="shared" si="12"/>
        <v>#N/A</v>
      </c>
      <c r="AV34" s="83">
        <f t="shared" si="18"/>
        <v>7.1601692356470732</v>
      </c>
      <c r="AW34" s="85" t="e">
        <f t="shared" si="13"/>
        <v>#DIV/0!</v>
      </c>
      <c r="AX34" s="1">
        <f t="shared" si="19"/>
        <v>13.320977411815605</v>
      </c>
      <c r="AY34" s="85" t="e">
        <f t="shared" si="20"/>
        <v>#DIV/0!</v>
      </c>
      <c r="AZ34" s="1">
        <f t="shared" si="21"/>
        <v>24.018871226987223</v>
      </c>
      <c r="BA34" s="85" t="e">
        <f t="shared" si="22"/>
        <v>#DIV/0!</v>
      </c>
      <c r="BB34" s="1">
        <f t="shared" si="23"/>
        <v>38.842658967542526</v>
      </c>
      <c r="BC34" s="85" t="e">
        <f t="shared" si="24"/>
        <v>#DIV/0!</v>
      </c>
    </row>
    <row r="35" spans="1:55" hidden="1" x14ac:dyDescent="0.25">
      <c r="A35" s="104">
        <f t="shared" si="0"/>
        <v>23</v>
      </c>
      <c r="B35" s="142">
        <f t="shared" si="1"/>
        <v>65.238484951029989</v>
      </c>
      <c r="C35" s="27"/>
      <c r="D35" s="105">
        <f t="shared" si="2"/>
        <v>0.08</v>
      </c>
      <c r="E35" s="67">
        <v>0.08</v>
      </c>
      <c r="F35" s="67">
        <v>8.554539991449843E-2</v>
      </c>
      <c r="G35" s="67">
        <f t="shared" ca="1" si="3"/>
        <v>8.554539991449843E-2</v>
      </c>
      <c r="H35" s="67">
        <v>-7.5368043528194206E-4</v>
      </c>
      <c r="I35" s="67">
        <f t="shared" ca="1" si="4"/>
        <v>-7.5368043528194206E-4</v>
      </c>
      <c r="J35" s="67">
        <v>0.38371021730133831</v>
      </c>
      <c r="K35" s="67">
        <f t="shared" ca="1" si="5"/>
        <v>0.38371021730133831</v>
      </c>
      <c r="L35" s="105">
        <f t="shared" ca="1" si="6"/>
        <v>0.23022892099888886</v>
      </c>
      <c r="M35" s="67">
        <v>0.23022892099888886</v>
      </c>
      <c r="N35" s="27"/>
      <c r="O35" s="26">
        <f t="shared" si="14"/>
        <v>-1179</v>
      </c>
      <c r="P35" s="26">
        <f t="shared" si="15"/>
        <v>116</v>
      </c>
      <c r="Q35" s="26">
        <f t="shared" si="7"/>
        <v>387</v>
      </c>
      <c r="R35" s="26">
        <f t="shared" si="8"/>
        <v>530</v>
      </c>
      <c r="S35" s="36">
        <f t="shared" si="9"/>
        <v>728</v>
      </c>
      <c r="T35" s="73"/>
      <c r="U35" s="78"/>
      <c r="V35" s="78"/>
      <c r="W35" s="26"/>
      <c r="X35" s="26"/>
      <c r="Y35" s="26"/>
      <c r="Z35" s="26"/>
      <c r="AA35" s="26"/>
      <c r="AB35" s="26"/>
      <c r="AC35" s="73"/>
      <c r="AD35" s="104">
        <f t="shared" si="10"/>
        <v>23</v>
      </c>
      <c r="AE35" s="11"/>
      <c r="AF35" s="14"/>
      <c r="AG35" s="14"/>
      <c r="AH35" s="14"/>
      <c r="AL35" s="219">
        <f>(1+alloc1*Simulator!E35+alloc2*Simulator!F35+alloc3*Simulator!H35+alloc4*Simulator!J35+alloc5*Simulator!M35)</f>
        <v>1.1097977177344165</v>
      </c>
      <c r="AM35" s="215">
        <f>IF(SUM($AM$13:AM34)&lt;&gt;0,0,IF(O35&lt;0,B35-O34,0))</f>
        <v>0</v>
      </c>
      <c r="AN35" s="12">
        <f t="shared" si="16"/>
        <v>0</v>
      </c>
      <c r="AO35" s="12"/>
      <c r="AP35" s="12"/>
      <c r="AQ35" s="211"/>
      <c r="AR35" s="145" t="e">
        <f t="shared" si="26"/>
        <v>#N/A</v>
      </c>
      <c r="AS35" s="146" t="e">
        <f t="shared" si="11"/>
        <v>#N/A</v>
      </c>
      <c r="AT35" s="220" t="e">
        <f>IF(AQ35&lt;&gt;0,IF((AT34-B35)*(1+alloc1*Simulator!E35+alloc2*Simulator!F35+alloc3*Simulator!H35+alloc4*Simulator!J35+alloc5*Simulator!M35)&lt;0,NA(),(AT34-B35)*(1+alloc1*Simulator!E35+alloc2*Simulator!F35+alloc3*Simulator!H35+alloc4*Simulator!J35+alloc5*Simulator!M35)),NA())</f>
        <v>#N/A</v>
      </c>
      <c r="AU35" s="219" t="e">
        <f t="shared" si="12"/>
        <v>#N/A</v>
      </c>
      <c r="AV35" s="83">
        <f t="shared" si="18"/>
        <v>7.7726887763659906</v>
      </c>
      <c r="AW35" s="85" t="e">
        <f t="shared" si="13"/>
        <v>#DIV/0!</v>
      </c>
      <c r="AX35" s="1">
        <f t="shared" si="19"/>
        <v>13.310937651761487</v>
      </c>
      <c r="AY35" s="85" t="e">
        <f t="shared" si="20"/>
        <v>#DIV/0!</v>
      </c>
      <c r="AZ35" s="1">
        <f t="shared" si="21"/>
        <v>33.235157524827351</v>
      </c>
      <c r="BA35" s="85" t="e">
        <f t="shared" si="22"/>
        <v>#DIV/0!</v>
      </c>
      <c r="BB35" s="1">
        <f t="shared" si="23"/>
        <v>47.785362430367655</v>
      </c>
      <c r="BC35" s="85" t="e">
        <f t="shared" si="24"/>
        <v>#DIV/0!</v>
      </c>
    </row>
    <row r="36" spans="1:55" hidden="1" x14ac:dyDescent="0.25">
      <c r="A36" s="104">
        <f t="shared" si="0"/>
        <v>24</v>
      </c>
      <c r="B36" s="142">
        <f t="shared" si="1"/>
        <v>70.457563747112388</v>
      </c>
      <c r="C36" s="27"/>
      <c r="D36" s="105">
        <f t="shared" si="2"/>
        <v>0.08</v>
      </c>
      <c r="E36" s="67">
        <v>0.08</v>
      </c>
      <c r="F36" s="67">
        <v>9.6490489151555753E-2</v>
      </c>
      <c r="G36" s="67">
        <f t="shared" ca="1" si="3"/>
        <v>9.6490489151555753E-2</v>
      </c>
      <c r="H36" s="67">
        <v>0.10357529295073878</v>
      </c>
      <c r="I36" s="67">
        <f t="shared" ca="1" si="4"/>
        <v>0.10357529295073878</v>
      </c>
      <c r="J36" s="67">
        <v>0.25346955207076993</v>
      </c>
      <c r="K36" s="67">
        <f t="shared" ca="1" si="5"/>
        <v>0.25346955207076993</v>
      </c>
      <c r="L36" s="105">
        <f t="shared" ca="1" si="6"/>
        <v>0.48063585612485282</v>
      </c>
      <c r="M36" s="67">
        <v>0.48063585612485282</v>
      </c>
      <c r="N36" s="27"/>
      <c r="O36" s="26">
        <f t="shared" si="14"/>
        <v>-1349</v>
      </c>
      <c r="P36" s="26">
        <f t="shared" si="15"/>
        <v>127</v>
      </c>
      <c r="Q36" s="26">
        <f t="shared" si="7"/>
        <v>427</v>
      </c>
      <c r="R36" s="26">
        <f t="shared" si="8"/>
        <v>664</v>
      </c>
      <c r="S36" s="36">
        <f t="shared" si="9"/>
        <v>1078</v>
      </c>
      <c r="T36" s="73"/>
      <c r="U36" s="78"/>
      <c r="V36" s="78"/>
      <c r="W36" s="26"/>
      <c r="X36" s="26"/>
      <c r="Y36" s="26"/>
      <c r="Z36" s="26"/>
      <c r="AA36" s="26"/>
      <c r="AB36" s="26"/>
      <c r="AC36" s="73"/>
      <c r="AD36" s="104">
        <f t="shared" si="10"/>
        <v>24</v>
      </c>
      <c r="AE36" s="11"/>
      <c r="AF36" s="21"/>
      <c r="AG36" s="22"/>
      <c r="AH36" s="21"/>
      <c r="AL36" s="219">
        <f>(1+alloc1*Simulator!E36+alloc2*Simulator!F36+alloc3*Simulator!H36+alloc4*Simulator!J36+alloc5*Simulator!M36)</f>
        <v>1.1437746483248656</v>
      </c>
      <c r="AM36" s="215">
        <f>IF(SUM($AM$13:AM35)&lt;&gt;0,0,IF(O36&lt;0,B36-O35,0))</f>
        <v>0</v>
      </c>
      <c r="AN36" s="12">
        <f t="shared" si="16"/>
        <v>0</v>
      </c>
      <c r="AO36" s="12"/>
      <c r="AP36" s="12"/>
      <c r="AQ36" s="211"/>
      <c r="AR36" s="145" t="e">
        <f t="shared" si="26"/>
        <v>#N/A</v>
      </c>
      <c r="AS36" s="146" t="e">
        <f t="shared" si="11"/>
        <v>#N/A</v>
      </c>
      <c r="AT36" s="220" t="e">
        <f>IF(AQ36&lt;&gt;0,IF((AT35-B36)*(1+alloc1*Simulator!E36+alloc2*Simulator!F36+alloc3*Simulator!H36+alloc4*Simulator!J36+alloc5*Simulator!M36)&lt;0,NA(),(AT35-B36)*(1+alloc1*Simulator!E36+alloc2*Simulator!F36+alloc3*Simulator!H36+alloc4*Simulator!J36+alloc5*Simulator!M36)),NA())</f>
        <v>#N/A</v>
      </c>
      <c r="AU36" s="219" t="e">
        <f t="shared" si="12"/>
        <v>#N/A</v>
      </c>
      <c r="AV36" s="83">
        <f t="shared" si="18"/>
        <v>8.5226793184203515</v>
      </c>
      <c r="AW36" s="85" t="e">
        <f t="shared" si="13"/>
        <v>#DIV/0!</v>
      </c>
      <c r="AX36" s="1">
        <f t="shared" si="19"/>
        <v>14.689621918491701</v>
      </c>
      <c r="AY36" s="85" t="e">
        <f t="shared" si="20"/>
        <v>#DIV/0!</v>
      </c>
      <c r="AZ36" s="1">
        <f t="shared" si="21"/>
        <v>41.65925801564682</v>
      </c>
      <c r="BA36" s="85" t="e">
        <f t="shared" si="22"/>
        <v>#DIV/0!</v>
      </c>
      <c r="BB36" s="1">
        <f t="shared" si="23"/>
        <v>70.752721012323789</v>
      </c>
      <c r="BC36" s="85" t="e">
        <f t="shared" si="24"/>
        <v>#DIV/0!</v>
      </c>
    </row>
    <row r="37" spans="1:55" hidden="1" x14ac:dyDescent="0.25">
      <c r="A37" s="104">
        <f t="shared" si="0"/>
        <v>25</v>
      </c>
      <c r="B37" s="142">
        <f t="shared" si="1"/>
        <v>76.094168846881374</v>
      </c>
      <c r="C37" s="27"/>
      <c r="D37" s="105">
        <f t="shared" si="2"/>
        <v>0.08</v>
      </c>
      <c r="E37" s="67">
        <v>0.08</v>
      </c>
      <c r="F37" s="67">
        <v>9.453129607503695E-2</v>
      </c>
      <c r="G37" s="67">
        <f t="shared" ca="1" si="3"/>
        <v>9.453129607503695E-2</v>
      </c>
      <c r="H37" s="67">
        <v>0.24934619425189505</v>
      </c>
      <c r="I37" s="67">
        <f t="shared" ca="1" si="4"/>
        <v>0.24934619425189505</v>
      </c>
      <c r="J37" s="67">
        <v>0.26403262244756787</v>
      </c>
      <c r="K37" s="67">
        <f t="shared" ca="1" si="5"/>
        <v>0.26403262244756787</v>
      </c>
      <c r="L37" s="105">
        <f t="shared" ca="1" si="6"/>
        <v>0.65165508246373016</v>
      </c>
      <c r="M37" s="67">
        <v>0.65165508246373016</v>
      </c>
      <c r="N37" s="27"/>
      <c r="O37" s="26">
        <f t="shared" si="14"/>
        <v>-1539</v>
      </c>
      <c r="P37" s="26">
        <f t="shared" si="15"/>
        <v>139</v>
      </c>
      <c r="Q37" s="26">
        <f t="shared" si="7"/>
        <v>533</v>
      </c>
      <c r="R37" s="26">
        <f t="shared" si="8"/>
        <v>839</v>
      </c>
      <c r="S37" s="36">
        <f t="shared" si="9"/>
        <v>1780</v>
      </c>
      <c r="T37" s="73"/>
      <c r="U37" s="78"/>
      <c r="V37" s="78"/>
      <c r="W37" s="26"/>
      <c r="X37" s="26"/>
      <c r="Y37" s="26"/>
      <c r="Z37" s="26"/>
      <c r="AA37" s="26"/>
      <c r="AB37" s="26"/>
      <c r="AC37" s="73"/>
      <c r="AD37" s="104">
        <f t="shared" si="10"/>
        <v>25</v>
      </c>
      <c r="AE37" s="11"/>
      <c r="AF37" s="21"/>
      <c r="AG37" s="21"/>
      <c r="AH37" s="21"/>
      <c r="AL37" s="219">
        <f>(1+alloc1*Simulator!E37+alloc2*Simulator!F37+alloc3*Simulator!H37+alloc4*Simulator!J37+alloc5*Simulator!M37)</f>
        <v>1.1908911389490124</v>
      </c>
      <c r="AM37" s="215">
        <f>IF(SUM($AM$13:AM36)&lt;&gt;0,0,IF(O37&lt;0,B37-O36,0))</f>
        <v>0</v>
      </c>
      <c r="AN37" s="12">
        <f t="shared" si="16"/>
        <v>0</v>
      </c>
      <c r="AO37" s="12"/>
      <c r="AP37" s="12"/>
      <c r="AQ37" s="214"/>
      <c r="AR37" s="145" t="e">
        <f t="shared" si="26"/>
        <v>#N/A</v>
      </c>
      <c r="AS37" s="146" t="e">
        <f t="shared" si="11"/>
        <v>#N/A</v>
      </c>
      <c r="AT37" s="220" t="e">
        <f>IF(AQ37&lt;&gt;0,IF((AT36-B37)*(1+alloc1*Simulator!E37+alloc2*Simulator!F37+alloc3*Simulator!H37+alloc4*Simulator!J37+alloc5*Simulator!M37)&lt;0,NA(),(AT36-B37)*(1+alloc1*Simulator!E37+alloc2*Simulator!F37+alloc3*Simulator!H37+alloc4*Simulator!J37+alloc5*Simulator!M37)),NA())</f>
        <v>#N/A</v>
      </c>
      <c r="AU37" s="219" t="e">
        <f t="shared" si="12"/>
        <v>#N/A</v>
      </c>
      <c r="AV37" s="83">
        <f t="shared" si="18"/>
        <v>9.3283392404225385</v>
      </c>
      <c r="AW37" s="85" t="e">
        <f t="shared" si="13"/>
        <v>#DIV/0!</v>
      </c>
      <c r="AX37" s="1">
        <f t="shared" si="19"/>
        <v>18.35242323886683</v>
      </c>
      <c r="AY37" s="85" t="e">
        <f t="shared" si="20"/>
        <v>#DIV/0!</v>
      </c>
      <c r="AZ37" s="1">
        <f t="shared" si="21"/>
        <v>52.658661158737914</v>
      </c>
      <c r="BA37" s="85" t="e">
        <f t="shared" si="22"/>
        <v>#DIV/0!</v>
      </c>
      <c r="BB37" s="1">
        <f t="shared" si="23"/>
        <v>116.85909125814294</v>
      </c>
      <c r="BC37" s="85" t="e">
        <f t="shared" si="24"/>
        <v>#DIV/0!</v>
      </c>
    </row>
    <row r="38" spans="1:55" hidden="1" x14ac:dyDescent="0.25">
      <c r="A38" s="104">
        <f t="shared" si="0"/>
        <v>26</v>
      </c>
      <c r="B38" s="142">
        <f t="shared" si="1"/>
        <v>82.181702354631895</v>
      </c>
      <c r="C38" s="27"/>
      <c r="D38" s="105">
        <f t="shared" si="2"/>
        <v>0.08</v>
      </c>
      <c r="E38" s="67">
        <v>0.08</v>
      </c>
      <c r="F38" s="67">
        <v>9.2700249949326213E-2</v>
      </c>
      <c r="G38" s="67">
        <f t="shared" ca="1" si="3"/>
        <v>9.2700249949326213E-2</v>
      </c>
      <c r="H38" s="67">
        <v>1.9387736223289043E-2</v>
      </c>
      <c r="I38" s="67">
        <f t="shared" ca="1" si="4"/>
        <v>1.9387736223289043E-2</v>
      </c>
      <c r="J38" s="67">
        <v>4.9039698669378073E-3</v>
      </c>
      <c r="K38" s="67">
        <f t="shared" ca="1" si="5"/>
        <v>4.9039698669378073E-3</v>
      </c>
      <c r="L38" s="105">
        <f t="shared" ca="1" si="6"/>
        <v>0.1998869449037643</v>
      </c>
      <c r="M38" s="67">
        <v>0.1998869449037643</v>
      </c>
      <c r="N38" s="27"/>
      <c r="O38" s="26">
        <f t="shared" si="14"/>
        <v>-1751</v>
      </c>
      <c r="P38" s="26">
        <f t="shared" si="15"/>
        <v>152</v>
      </c>
      <c r="Q38" s="26">
        <f t="shared" si="7"/>
        <v>543</v>
      </c>
      <c r="R38" s="26">
        <f t="shared" si="8"/>
        <v>843</v>
      </c>
      <c r="S38" s="36">
        <f t="shared" si="9"/>
        <v>2136</v>
      </c>
      <c r="T38" s="73"/>
      <c r="U38" s="78"/>
      <c r="V38" s="78"/>
      <c r="W38" s="26"/>
      <c r="X38" s="26"/>
      <c r="Y38" s="26"/>
      <c r="Z38" s="26"/>
      <c r="AA38" s="26"/>
      <c r="AB38" s="26"/>
      <c r="AC38" s="73"/>
      <c r="AD38" s="104">
        <f t="shared" si="10"/>
        <v>26</v>
      </c>
      <c r="AE38" s="11"/>
      <c r="AF38" s="21"/>
      <c r="AG38" s="21"/>
      <c r="AH38" s="21"/>
      <c r="AL38" s="219">
        <f>(1+alloc1*Simulator!E38+alloc2*Simulator!F38+alloc3*Simulator!H38+alloc4*Simulator!J38+alloc5*Simulator!M38)</f>
        <v>1.0736266637166607</v>
      </c>
      <c r="AM38" s="215">
        <f>IF(SUM($AM$13:AM37)&lt;&gt;0,0,IF(O38&lt;0,B38-O37,0))</f>
        <v>0</v>
      </c>
      <c r="AN38" s="12">
        <f t="shared" si="16"/>
        <v>0</v>
      </c>
      <c r="AO38" s="12"/>
      <c r="AP38" s="12"/>
      <c r="AQ38" s="214"/>
      <c r="AR38" s="145" t="e">
        <f t="shared" si="26"/>
        <v>#N/A</v>
      </c>
      <c r="AS38" s="146" t="e">
        <f t="shared" si="11"/>
        <v>#N/A</v>
      </c>
      <c r="AT38" s="220" t="e">
        <f>IF(AQ38&lt;&gt;0,IF((AT37-B38)*(1+alloc1*Simulator!E38+alloc2*Simulator!F38+alloc3*Simulator!H38+alloc4*Simulator!J38+alloc5*Simulator!M38)&lt;0,NA(),(AT37-B38)*(1+alloc1*Simulator!E38+alloc2*Simulator!F38+alloc3*Simulator!H38+alloc4*Simulator!J38+alloc5*Simulator!M38)),NA())</f>
        <v>#N/A</v>
      </c>
      <c r="AU38" s="219" t="e">
        <f t="shared" si="12"/>
        <v>#N/A</v>
      </c>
      <c r="AV38" s="83">
        <f t="shared" si="18"/>
        <v>10.193078619621815</v>
      </c>
      <c r="AW38" s="85" t="e">
        <f t="shared" si="13"/>
        <v>#DIV/0!</v>
      </c>
      <c r="AX38" s="1">
        <f t="shared" si="19"/>
        <v>18.708235179680141</v>
      </c>
      <c r="AY38" s="85" t="e">
        <f t="shared" si="20"/>
        <v>#DIV/0!</v>
      </c>
      <c r="AZ38" s="1">
        <f t="shared" si="21"/>
        <v>52.916897646293648</v>
      </c>
      <c r="BA38" s="85" t="e">
        <f t="shared" si="22"/>
        <v>#DIV/0!</v>
      </c>
      <c r="BB38" s="1">
        <f t="shared" si="23"/>
        <v>140.21769799396333</v>
      </c>
      <c r="BC38" s="85" t="e">
        <f t="shared" si="24"/>
        <v>#DIV/0!</v>
      </c>
    </row>
    <row r="39" spans="1:55" hidden="1" x14ac:dyDescent="0.25">
      <c r="A39" s="104">
        <f t="shared" si="0"/>
        <v>27</v>
      </c>
      <c r="B39" s="142">
        <f t="shared" si="1"/>
        <v>88.756238543002439</v>
      </c>
      <c r="C39" s="27"/>
      <c r="D39" s="105">
        <f t="shared" si="2"/>
        <v>0.08</v>
      </c>
      <c r="E39" s="67">
        <v>0.08</v>
      </c>
      <c r="F39" s="67">
        <v>0.11625810268585392</v>
      </c>
      <c r="G39" s="67">
        <f t="shared" ca="1" si="3"/>
        <v>0.11625810268585392</v>
      </c>
      <c r="H39" s="67">
        <v>4.1031096441408704E-2</v>
      </c>
      <c r="I39" s="67">
        <f t="shared" ca="1" si="4"/>
        <v>4.1031096441408704E-2</v>
      </c>
      <c r="J39" s="67">
        <v>8.5114444088370739E-2</v>
      </c>
      <c r="K39" s="67">
        <f t="shared" ca="1" si="5"/>
        <v>8.5114444088370739E-2</v>
      </c>
      <c r="L39" s="105">
        <f t="shared" ca="1" si="6"/>
        <v>0.17616931356263152</v>
      </c>
      <c r="M39" s="67">
        <v>0.17616931356263152</v>
      </c>
      <c r="N39" s="27"/>
      <c r="O39" s="26">
        <f t="shared" si="14"/>
        <v>-1987</v>
      </c>
      <c r="P39" s="26">
        <f t="shared" si="15"/>
        <v>170</v>
      </c>
      <c r="Q39" s="26">
        <f t="shared" si="7"/>
        <v>565</v>
      </c>
      <c r="R39" s="26">
        <f t="shared" si="8"/>
        <v>915</v>
      </c>
      <c r="S39" s="36">
        <f t="shared" si="9"/>
        <v>2512</v>
      </c>
      <c r="T39" s="73"/>
      <c r="U39" s="78"/>
      <c r="V39" s="78"/>
      <c r="W39" s="26"/>
      <c r="X39" s="26"/>
      <c r="Y39" s="26"/>
      <c r="Z39" s="26"/>
      <c r="AA39" s="26"/>
      <c r="AB39" s="26"/>
      <c r="AC39" s="73"/>
      <c r="AD39" s="104">
        <f t="shared" si="10"/>
        <v>27</v>
      </c>
      <c r="AE39" s="11"/>
      <c r="AF39" s="21"/>
      <c r="AG39" s="21"/>
      <c r="AH39" s="21"/>
      <c r="AL39" s="219">
        <f>(1+alloc1*Simulator!E39+alloc2*Simulator!F39+alloc3*Simulator!H39+alloc4*Simulator!J39+alloc5*Simulator!M39)</f>
        <v>1.0859604053219671</v>
      </c>
      <c r="AM39" s="215">
        <f>IF(SUM($AM$13:AM38)&lt;&gt;0,0,IF(O39&lt;0,B39-O38,0))</f>
        <v>0</v>
      </c>
      <c r="AN39" s="12">
        <f t="shared" si="16"/>
        <v>0</v>
      </c>
      <c r="AO39" s="12"/>
      <c r="AP39" s="12"/>
      <c r="AQ39" s="214"/>
      <c r="AR39" s="145" t="e">
        <f t="shared" si="26"/>
        <v>#N/A</v>
      </c>
      <c r="AS39" s="146" t="e">
        <f t="shared" si="11"/>
        <v>#N/A</v>
      </c>
      <c r="AT39" s="220" t="e">
        <f>IF(AQ39&lt;&gt;0,IF((AT38-B39)*(1+alloc1*Simulator!E39+alloc2*Simulator!F39+alloc3*Simulator!H39+alloc4*Simulator!J39+alloc5*Simulator!M39)&lt;0,NA(),(AT38-B39)*(1+alloc1*Simulator!E39+alloc2*Simulator!F39+alloc3*Simulator!H39+alloc4*Simulator!J39+alloc5*Simulator!M39)),NA())</f>
        <v>#N/A</v>
      </c>
      <c r="AU39" s="219" t="e">
        <f t="shared" si="12"/>
        <v>#N/A</v>
      </c>
      <c r="AV39" s="83">
        <f t="shared" si="18"/>
        <v>11.378106600466792</v>
      </c>
      <c r="AW39" s="85" t="e">
        <f t="shared" si="13"/>
        <v>#DIV/0!</v>
      </c>
      <c r="AX39" s="1">
        <f t="shared" si="19"/>
        <v>19.475854581586152</v>
      </c>
      <c r="AY39" s="85" t="e">
        <f t="shared" si="20"/>
        <v>#DIV/0!</v>
      </c>
      <c r="AZ39" s="1">
        <f t="shared" si="21"/>
        <v>57.42088997233914</v>
      </c>
      <c r="BA39" s="85" t="e">
        <f t="shared" si="22"/>
        <v>#DIV/0!</v>
      </c>
      <c r="BB39" s="1">
        <f t="shared" si="23"/>
        <v>164.91975359889221</v>
      </c>
      <c r="BC39" s="85" t="e">
        <f t="shared" si="24"/>
        <v>#DIV/0!</v>
      </c>
    </row>
    <row r="40" spans="1:55" hidden="1" x14ac:dyDescent="0.25">
      <c r="A40" s="104">
        <f t="shared" si="0"/>
        <v>28</v>
      </c>
      <c r="B40" s="142">
        <f t="shared" si="1"/>
        <v>95.856737626442651</v>
      </c>
      <c r="C40" s="27"/>
      <c r="D40" s="105">
        <f t="shared" si="2"/>
        <v>0.08</v>
      </c>
      <c r="E40" s="67">
        <v>0.08</v>
      </c>
      <c r="F40" s="67">
        <v>7.7349367879432376E-2</v>
      </c>
      <c r="G40" s="67">
        <f t="shared" ca="1" si="3"/>
        <v>7.7349367879432376E-2</v>
      </c>
      <c r="H40" s="67">
        <v>0.25106600572292315</v>
      </c>
      <c r="I40" s="67">
        <f t="shared" ca="1" si="4"/>
        <v>0.25106600572292315</v>
      </c>
      <c r="J40" s="67">
        <v>0.17565947464881762</v>
      </c>
      <c r="K40" s="67">
        <f t="shared" ca="1" si="5"/>
        <v>0.17565947464881762</v>
      </c>
      <c r="L40" s="105">
        <f t="shared" ca="1" si="6"/>
        <v>0.31295908680148943</v>
      </c>
      <c r="M40" s="67">
        <v>0.31295908680148943</v>
      </c>
      <c r="N40" s="27"/>
      <c r="O40" s="26">
        <f t="shared" si="14"/>
        <v>-2249</v>
      </c>
      <c r="P40" s="26">
        <f t="shared" si="15"/>
        <v>183</v>
      </c>
      <c r="Q40" s="26">
        <f t="shared" si="7"/>
        <v>707</v>
      </c>
      <c r="R40" s="26">
        <f t="shared" si="8"/>
        <v>1076</v>
      </c>
      <c r="S40" s="36">
        <f t="shared" si="9"/>
        <v>3298</v>
      </c>
      <c r="T40" s="73"/>
      <c r="U40" s="78"/>
      <c r="V40" s="78"/>
      <c r="W40" s="26"/>
      <c r="X40" s="26"/>
      <c r="Y40" s="26"/>
      <c r="Z40" s="26"/>
      <c r="AA40" s="26"/>
      <c r="AB40" s="26"/>
      <c r="AC40" s="73"/>
      <c r="AD40" s="104">
        <f t="shared" si="10"/>
        <v>28</v>
      </c>
      <c r="AE40" s="11"/>
      <c r="AF40" s="21"/>
      <c r="AG40" s="21"/>
      <c r="AH40" s="21"/>
      <c r="AL40" s="219">
        <f>(1+alloc1*Simulator!E40+alloc2*Simulator!F40+alloc3*Simulator!H40+alloc4*Simulator!J40+alloc5*Simulator!M40)</f>
        <v>1.1468099940775587</v>
      </c>
      <c r="AM40" s="215">
        <f>IF(SUM($AM$13:AM39)&lt;&gt;0,0,IF(O40&lt;0,B40-O39,0))</f>
        <v>0</v>
      </c>
      <c r="AN40" s="12">
        <f t="shared" si="16"/>
        <v>0</v>
      </c>
      <c r="AO40" s="12"/>
      <c r="AP40" s="12"/>
      <c r="AQ40" s="214"/>
      <c r="AR40" s="145" t="e">
        <f t="shared" si="26"/>
        <v>#N/A</v>
      </c>
      <c r="AS40" s="146" t="e">
        <f t="shared" si="11"/>
        <v>#N/A</v>
      </c>
      <c r="AT40" s="220" t="e">
        <f>IF(AQ40&lt;&gt;0,IF((AT39-B40)*(1+alloc1*Simulator!E40+alloc2*Simulator!F40+alloc3*Simulator!H40+alloc4*Simulator!J40+alloc5*Simulator!M40)&lt;0,NA(),(AT39-B40)*(1+alloc1*Simulator!E40+alloc2*Simulator!F40+alloc3*Simulator!H40+alloc4*Simulator!J40+alloc5*Simulator!M40)),NA())</f>
        <v>#N/A</v>
      </c>
      <c r="AU40" s="219" t="e">
        <f t="shared" si="12"/>
        <v>#N/A</v>
      </c>
      <c r="AV40" s="83">
        <f t="shared" si="18"/>
        <v>12.258195953677696</v>
      </c>
      <c r="AW40" s="85" t="e">
        <f>(AV40/$AV$12)^(1/AQ40)-1</f>
        <v>#DIV/0!</v>
      </c>
      <c r="AX40" s="1">
        <f t="shared" si="19"/>
        <v>24.36557959942548</v>
      </c>
      <c r="AY40" s="85" t="e">
        <f>(AX40/$AX$12)^(1/AQ40)-1</f>
        <v>#DIV/0!</v>
      </c>
      <c r="AZ40" s="1">
        <f t="shared" si="21"/>
        <v>67.507413338747796</v>
      </c>
      <c r="BA40" s="85" t="e">
        <f>(AZ40/$AZ$12)^(1/AQ40)-1</f>
        <v>#DIV/0!</v>
      </c>
      <c r="BB40" s="1">
        <f t="shared" si="23"/>
        <v>216.53288908072815</v>
      </c>
      <c r="BC40" s="85" t="e">
        <f>(BB40/$BB$12)^(1/AQ40)-1</f>
        <v>#DIV/0!</v>
      </c>
    </row>
    <row r="41" spans="1:55" hidden="1" x14ac:dyDescent="0.25">
      <c r="A41" s="104">
        <f t="shared" si="0"/>
        <v>29</v>
      </c>
      <c r="B41" s="142">
        <f t="shared" si="1"/>
        <v>103.52527663655806</v>
      </c>
      <c r="C41" s="27"/>
      <c r="D41" s="105">
        <f t="shared" si="2"/>
        <v>0.08</v>
      </c>
      <c r="E41" s="67">
        <v>0.08</v>
      </c>
      <c r="F41" s="67">
        <v>0.10436642937655143</v>
      </c>
      <c r="G41" s="67">
        <f t="shared" ca="1" si="3"/>
        <v>0.10436642937655143</v>
      </c>
      <c r="H41" s="67">
        <v>-2.4830442213968379E-2</v>
      </c>
      <c r="I41" s="67">
        <f t="shared" ca="1" si="4"/>
        <v>-2.4830442213968379E-2</v>
      </c>
      <c r="J41" s="67">
        <v>5.6896471067135371E-2</v>
      </c>
      <c r="K41" s="67">
        <f t="shared" ca="1" si="5"/>
        <v>5.6896471067135371E-2</v>
      </c>
      <c r="L41" s="105">
        <f t="shared" ca="1" si="6"/>
        <v>0.23910383180723654</v>
      </c>
      <c r="M41" s="67">
        <v>0.23910383180723654</v>
      </c>
      <c r="N41" s="27"/>
      <c r="O41" s="26">
        <f t="shared" si="14"/>
        <v>-2541</v>
      </c>
      <c r="P41" s="26">
        <f t="shared" si="15"/>
        <v>202</v>
      </c>
      <c r="Q41" s="26">
        <f t="shared" si="7"/>
        <v>689</v>
      </c>
      <c r="R41" s="26">
        <f t="shared" si="8"/>
        <v>1137</v>
      </c>
      <c r="S41" s="36">
        <f t="shared" si="9"/>
        <v>4087</v>
      </c>
      <c r="T41" s="73"/>
      <c r="U41" s="78"/>
      <c r="V41" s="78"/>
      <c r="W41" s="26"/>
      <c r="X41" s="26"/>
      <c r="Y41" s="26"/>
      <c r="Z41" s="26"/>
      <c r="AA41" s="26"/>
      <c r="AB41" s="26"/>
      <c r="AC41" s="73"/>
      <c r="AD41" s="104">
        <f t="shared" si="10"/>
        <v>29</v>
      </c>
      <c r="AE41" s="11"/>
      <c r="AF41" s="21"/>
      <c r="AG41" s="21"/>
      <c r="AH41" s="21"/>
      <c r="AL41" s="219">
        <f>(1+alloc1*Simulator!E41+alloc2*Simulator!F41+alloc3*Simulator!H41+alloc4*Simulator!J41+alloc5*Simulator!M41)</f>
        <v>1.0750705847822988</v>
      </c>
      <c r="AM41" s="215">
        <f>IF(SUM($AM$13:AM40)&lt;&gt;0,0,IF(O41&lt;0,B41-O40,0))</f>
        <v>0</v>
      </c>
      <c r="AN41" s="12">
        <f t="shared" si="16"/>
        <v>0</v>
      </c>
      <c r="AO41" s="12"/>
      <c r="AP41" s="12"/>
      <c r="AQ41" s="214"/>
      <c r="AR41" s="145" t="e">
        <f t="shared" si="26"/>
        <v>#N/A</v>
      </c>
      <c r="AS41" s="146" t="e">
        <f t="shared" si="11"/>
        <v>#N/A</v>
      </c>
      <c r="AT41" s="220" t="e">
        <f>IF(AQ41&lt;&gt;0,IF((AT40-B41)*(1+alloc1*Simulator!E41+alloc2*Simulator!F41+alloc3*Simulator!H41+alloc4*Simulator!J41+alloc5*Simulator!M41)&lt;0,NA(),(AT40-B41)*(1+alloc1*Simulator!E41+alloc2*Simulator!F41+alloc3*Simulator!H41+alloc4*Simulator!J41+alloc5*Simulator!M41)),NA())</f>
        <v>#N/A</v>
      </c>
      <c r="AU41" s="219" t="e">
        <f t="shared" si="12"/>
        <v>#N/A</v>
      </c>
      <c r="AV41" s="83">
        <f t="shared" si="18"/>
        <v>13.537540095961127</v>
      </c>
      <c r="AW41" s="85" t="e">
        <f t="shared" si="13"/>
        <v>#DIV/0!</v>
      </c>
      <c r="AX41" s="1">
        <f t="shared" si="19"/>
        <v>23.7605714831721</v>
      </c>
      <c r="AY41" s="85" t="e">
        <f t="shared" si="20"/>
        <v>#DIV/0!</v>
      </c>
      <c r="AZ41" s="1">
        <f t="shared" si="21"/>
        <v>71.348346928593003</v>
      </c>
      <c r="BA41" s="85" t="e">
        <f t="shared" si="22"/>
        <v>#DIV/0!</v>
      </c>
      <c r="BB41" s="1">
        <f t="shared" si="23"/>
        <v>268.30673257222156</v>
      </c>
      <c r="BC41" s="85" t="e">
        <f t="shared" si="24"/>
        <v>#DIV/0!</v>
      </c>
    </row>
    <row r="42" spans="1:55" hidden="1" x14ac:dyDescent="0.25">
      <c r="A42" s="104">
        <f t="shared" si="0"/>
        <v>30</v>
      </c>
      <c r="B42" s="142">
        <f t="shared" si="1"/>
        <v>111.80729876748271</v>
      </c>
      <c r="C42" s="27"/>
      <c r="D42" s="105">
        <f t="shared" si="2"/>
        <v>0.08</v>
      </c>
      <c r="E42" s="67">
        <v>0.08</v>
      </c>
      <c r="F42" s="67">
        <v>8.5398071550077587E-2</v>
      </c>
      <c r="G42" s="67">
        <f t="shared" ca="1" si="3"/>
        <v>8.5398071550077587E-2</v>
      </c>
      <c r="H42" s="67">
        <v>3.6240196855826579E-2</v>
      </c>
      <c r="I42" s="67">
        <f t="shared" ca="1" si="4"/>
        <v>3.6240196855826579E-2</v>
      </c>
      <c r="J42" s="67">
        <v>0.2181731382438539</v>
      </c>
      <c r="K42" s="67">
        <f t="shared" ca="1" si="5"/>
        <v>0.2181731382438539</v>
      </c>
      <c r="L42" s="105">
        <f t="shared" ca="1" si="6"/>
        <v>0.21437880713333526</v>
      </c>
      <c r="M42" s="67">
        <v>0.21437880713333526</v>
      </c>
      <c r="N42" s="27"/>
      <c r="O42" s="26">
        <f t="shared" si="14"/>
        <v>-2865</v>
      </c>
      <c r="P42" s="26">
        <f t="shared" si="15"/>
        <v>219</v>
      </c>
      <c r="Q42" s="26">
        <f t="shared" si="7"/>
        <v>714</v>
      </c>
      <c r="R42" s="26">
        <f t="shared" si="8"/>
        <v>1385</v>
      </c>
      <c r="S42" s="36">
        <f t="shared" si="9"/>
        <v>4963</v>
      </c>
      <c r="T42" s="73"/>
      <c r="U42" s="78"/>
      <c r="V42" s="78"/>
      <c r="W42" s="26"/>
      <c r="X42" s="26"/>
      <c r="Y42" s="26"/>
      <c r="Z42" s="26"/>
      <c r="AA42" s="26"/>
      <c r="AB42" s="26"/>
      <c r="AC42" s="73"/>
      <c r="AD42" s="104">
        <f t="shared" si="10"/>
        <v>30</v>
      </c>
      <c r="AE42" s="11"/>
      <c r="AF42" s="21"/>
      <c r="AG42" s="21"/>
      <c r="AH42" s="23"/>
      <c r="AL42" s="219">
        <f>(1+alloc1*Simulator!E42+alloc2*Simulator!F42+alloc3*Simulator!H42+alloc4*Simulator!J42+alloc5*Simulator!M42)</f>
        <v>1.0990430410638921</v>
      </c>
      <c r="AM42" s="215">
        <f>IF(SUM($AM$13:AM41)&lt;&gt;0,0,IF(O42&lt;0,B42-O41,0))</f>
        <v>0</v>
      </c>
      <c r="AN42" s="12">
        <f t="shared" si="16"/>
        <v>0</v>
      </c>
      <c r="AO42" s="14"/>
      <c r="AP42" s="21"/>
      <c r="AQ42" s="214"/>
      <c r="AR42" s="145" t="e">
        <f t="shared" si="26"/>
        <v>#N/A</v>
      </c>
      <c r="AS42" s="146" t="e">
        <f t="shared" si="11"/>
        <v>#N/A</v>
      </c>
      <c r="AT42" s="220" t="e">
        <f>IF(AQ42&lt;&gt;0,IF((AT41-B42)*(1+alloc1*Simulator!E42+alloc2*Simulator!F42+alloc3*Simulator!H42+alloc4*Simulator!J42+alloc5*Simulator!M42)&lt;0,NA(),(AT41-B42)*(1+alloc1*Simulator!E42+alloc2*Simulator!F42+alloc3*Simulator!H42+alloc4*Simulator!J42+alloc5*Simulator!M42)),NA())</f>
        <v>#N/A</v>
      </c>
      <c r="AU42" s="219" t="e">
        <f t="shared" si="12"/>
        <v>#N/A</v>
      </c>
      <c r="AV42" s="83">
        <f t="shared" si="18"/>
        <v>14.693619913688059</v>
      </c>
      <c r="AW42" s="85" t="e">
        <f t="shared" si="13"/>
        <v>#DIV/0!</v>
      </c>
      <c r="AX42" s="1">
        <f t="shared" si="19"/>
        <v>24.621659271129197</v>
      </c>
      <c r="AY42" s="85" t="e">
        <f t="shared" si="20"/>
        <v>#DIV/0!</v>
      </c>
      <c r="AZ42" s="1">
        <f t="shared" si="21"/>
        <v>86.914639686515372</v>
      </c>
      <c r="BA42" s="85" t="e">
        <f t="shared" si="22"/>
        <v>#DIV/0!</v>
      </c>
      <c r="BB42" s="1">
        <f t="shared" si="23"/>
        <v>325.82600984689719</v>
      </c>
      <c r="BC42" s="85" t="e">
        <f t="shared" si="24"/>
        <v>#DIV/0!</v>
      </c>
    </row>
    <row r="43" spans="1:55" hidden="1" x14ac:dyDescent="0.25">
      <c r="A43" s="104">
        <f t="shared" si="0"/>
        <v>31</v>
      </c>
      <c r="B43" s="142">
        <f t="shared" si="1"/>
        <v>120.75188266888134</v>
      </c>
      <c r="C43" s="27"/>
      <c r="D43" s="105">
        <f t="shared" si="2"/>
        <v>0.08</v>
      </c>
      <c r="E43" s="67">
        <v>0.08</v>
      </c>
      <c r="F43" s="67">
        <v>0.12959001550460444</v>
      </c>
      <c r="G43" s="67">
        <f t="shared" ca="1" si="3"/>
        <v>0.12959001550460444</v>
      </c>
      <c r="H43" s="67">
        <v>6.2909282812614098E-2</v>
      </c>
      <c r="I43" s="67">
        <f t="shared" ca="1" si="4"/>
        <v>6.2909282812614098E-2</v>
      </c>
      <c r="J43" s="67">
        <v>0.17962229775513622</v>
      </c>
      <c r="K43" s="67">
        <f t="shared" ca="1" si="5"/>
        <v>0.17962229775513622</v>
      </c>
      <c r="L43" s="105">
        <f t="shared" ca="1" si="6"/>
        <v>0.60271895700320133</v>
      </c>
      <c r="M43" s="67">
        <v>0.60271895700320133</v>
      </c>
      <c r="N43" s="27"/>
      <c r="O43" s="26">
        <f t="shared" si="14"/>
        <v>-3225</v>
      </c>
      <c r="P43" s="26">
        <f t="shared" si="15"/>
        <v>247</v>
      </c>
      <c r="Q43" s="26">
        <f t="shared" si="7"/>
        <v>759</v>
      </c>
      <c r="R43" s="26">
        <f t="shared" si="8"/>
        <v>1634</v>
      </c>
      <c r="S43" s="36">
        <f t="shared" si="9"/>
        <v>7954</v>
      </c>
      <c r="T43" s="73"/>
      <c r="U43" s="78"/>
      <c r="V43" s="78"/>
      <c r="W43" s="26"/>
      <c r="X43" s="26"/>
      <c r="Y43" s="26"/>
      <c r="Z43" s="26"/>
      <c r="AA43" s="26"/>
      <c r="AB43" s="26"/>
      <c r="AC43" s="73"/>
      <c r="AD43" s="104">
        <f t="shared" si="10"/>
        <v>31</v>
      </c>
      <c r="AE43" s="11"/>
      <c r="AF43" s="21"/>
      <c r="AG43" s="21"/>
      <c r="AH43" s="21"/>
      <c r="AL43" s="219">
        <f>(1+alloc1*Simulator!E43+alloc2*Simulator!F43+alloc3*Simulator!H43+alloc4*Simulator!J43+alloc5*Simulator!M43)</f>
        <v>1.1437749835888169</v>
      </c>
      <c r="AM43" s="215">
        <f>IF(SUM($AM$13:AM42)&lt;&gt;0,0,IF(O43&lt;0,B43-O42,0))</f>
        <v>0</v>
      </c>
      <c r="AN43" s="12">
        <f t="shared" si="16"/>
        <v>0</v>
      </c>
      <c r="AO43" s="14"/>
      <c r="AP43" s="21"/>
      <c r="AQ43" s="214"/>
      <c r="AR43" s="145" t="e">
        <f t="shared" si="26"/>
        <v>#N/A</v>
      </c>
      <c r="AS43" s="146" t="e">
        <f t="shared" si="11"/>
        <v>#N/A</v>
      </c>
      <c r="AT43" s="220" t="e">
        <f>IF(AQ43&lt;&gt;0,IF((AT42-B43)*(1+alloc1*Simulator!E43+alloc2*Simulator!F43+alloc3*Simulator!H43+alloc4*Simulator!J43+alloc5*Simulator!M43)&lt;0,NA(),(AT42-B43)*(1+alloc1*Simulator!E43+alloc2*Simulator!F43+alloc3*Simulator!H43+alloc4*Simulator!J43+alloc5*Simulator!M43)),NA())</f>
        <v>#N/A</v>
      </c>
      <c r="AU43" s="219" t="e">
        <f t="shared" si="12"/>
        <v>#N/A</v>
      </c>
      <c r="AV43" s="83">
        <f t="shared" si="18"/>
        <v>16.597766346121656</v>
      </c>
      <c r="AW43" s="85" t="e">
        <f t="shared" si="13"/>
        <v>#DIV/0!</v>
      </c>
      <c r="AX43" s="1">
        <f t="shared" si="19"/>
        <v>26.170590197532484</v>
      </c>
      <c r="AY43" s="85" t="e">
        <f t="shared" si="20"/>
        <v>#DIV/0!</v>
      </c>
      <c r="AZ43" s="1">
        <f t="shared" si="21"/>
        <v>102.52644697556703</v>
      </c>
      <c r="BA43" s="85" t="e">
        <f t="shared" si="22"/>
        <v>#DIV/0!</v>
      </c>
      <c r="BB43" s="1">
        <f t="shared" si="23"/>
        <v>522.20752266633394</v>
      </c>
      <c r="BC43" s="85" t="e">
        <f t="shared" si="24"/>
        <v>#DIV/0!</v>
      </c>
    </row>
    <row r="44" spans="1:55" hidden="1" x14ac:dyDescent="0.25">
      <c r="A44" s="104">
        <f t="shared" si="0"/>
        <v>32</v>
      </c>
      <c r="B44" s="142">
        <f t="shared" si="1"/>
        <v>130.41203328239186</v>
      </c>
      <c r="C44" s="73"/>
      <c r="D44" s="105">
        <f t="shared" si="2"/>
        <v>0.08</v>
      </c>
      <c r="E44" s="67">
        <v>0.08</v>
      </c>
      <c r="F44" s="67">
        <v>0.11746642229474695</v>
      </c>
      <c r="G44" s="67">
        <f t="shared" ca="1" si="3"/>
        <v>0.11746642229474695</v>
      </c>
      <c r="H44" s="67">
        <v>-0.13555740845159869</v>
      </c>
      <c r="I44" s="67">
        <f t="shared" ca="1" si="4"/>
        <v>-0.13555740845159869</v>
      </c>
      <c r="J44" s="67">
        <v>5.18690463718465E-2</v>
      </c>
      <c r="K44" s="67">
        <f t="shared" ca="1" si="5"/>
        <v>5.18690463718465E-2</v>
      </c>
      <c r="L44" s="105">
        <f t="shared" ca="1" si="6"/>
        <v>0.55572493122602407</v>
      </c>
      <c r="M44" s="67">
        <v>0.55572493122602407</v>
      </c>
      <c r="N44" s="73"/>
      <c r="O44" s="26">
        <f t="shared" si="14"/>
        <v>-3624</v>
      </c>
      <c r="P44" s="26">
        <f t="shared" si="15"/>
        <v>276</v>
      </c>
      <c r="Q44" s="26">
        <f t="shared" si="7"/>
        <v>656</v>
      </c>
      <c r="R44" s="26">
        <f t="shared" si="8"/>
        <v>1719</v>
      </c>
      <c r="S44" s="36">
        <f t="shared" si="9"/>
        <v>12374</v>
      </c>
      <c r="T44" s="73"/>
      <c r="U44" s="78"/>
      <c r="V44" s="78"/>
      <c r="W44" s="26"/>
      <c r="X44" s="26"/>
      <c r="Y44" s="26"/>
      <c r="Z44" s="26"/>
      <c r="AA44" s="26"/>
      <c r="AB44" s="26"/>
      <c r="AC44" s="73"/>
      <c r="AD44" s="104">
        <f t="shared" si="10"/>
        <v>32</v>
      </c>
      <c r="AE44" s="11"/>
      <c r="AF44" s="21"/>
      <c r="AG44" s="21"/>
      <c r="AH44" s="21"/>
      <c r="AL44" s="219">
        <f>(1+alloc1*Simulator!E44+alloc2*Simulator!F44+alloc3*Simulator!H44+alloc4*Simulator!J44+alloc5*Simulator!M44)</f>
        <v>1.0853945582989422</v>
      </c>
      <c r="AM44" s="215">
        <f>IF(SUM($AM$13:AM43)&lt;&gt;0,0,IF(O44&lt;0,B44-O43,0))</f>
        <v>0</v>
      </c>
      <c r="AN44" s="12">
        <f t="shared" si="16"/>
        <v>0</v>
      </c>
      <c r="AO44" s="14"/>
      <c r="AP44" s="21"/>
      <c r="AQ44" s="214"/>
      <c r="AR44" s="145" t="e">
        <f t="shared" si="26"/>
        <v>#N/A</v>
      </c>
      <c r="AS44" s="146" t="e">
        <f t="shared" si="11"/>
        <v>#N/A</v>
      </c>
      <c r="AT44" s="220" t="e">
        <f>IF(AQ44&lt;&gt;0,IF((AT43-B44)*(1+alloc1*Simulator!E44+alloc2*Simulator!F44+alloc3*Simulator!H44+alloc4*Simulator!J44+alloc5*Simulator!M44)&lt;0,NA(),(AT43-B44)*(1+alloc1*Simulator!E44+alloc2*Simulator!F44+alloc3*Simulator!H44+alloc4*Simulator!J44+alloc5*Simulator!M44)),NA())</f>
        <v>#N/A</v>
      </c>
      <c r="AU44" s="219" t="e">
        <f t="shared" si="12"/>
        <v>#N/A</v>
      </c>
      <c r="AV44" s="83">
        <f t="shared" si="18"/>
        <v>18.547446576884724</v>
      </c>
      <c r="AW44" s="85" t="e">
        <f t="shared" si="13"/>
        <v>#DIV/0!</v>
      </c>
      <c r="AX44" s="1">
        <f t="shared" si="19"/>
        <v>22.622972812706166</v>
      </c>
      <c r="AY44" s="85" t="e">
        <f t="shared" si="20"/>
        <v>#DIV/0!</v>
      </c>
      <c r="AZ44" s="1">
        <f t="shared" si="21"/>
        <v>107.84439600808338</v>
      </c>
      <c r="BA44" s="85" t="e">
        <f t="shared" si="22"/>
        <v>#DIV/0!</v>
      </c>
      <c r="BB44" s="1">
        <f t="shared" si="23"/>
        <v>812.41126228579469</v>
      </c>
      <c r="BC44" s="85" t="e">
        <f t="shared" si="24"/>
        <v>#DIV/0!</v>
      </c>
    </row>
    <row r="45" spans="1:55" hidden="1" x14ac:dyDescent="0.25">
      <c r="A45" s="104">
        <f t="shared" si="0"/>
        <v>33</v>
      </c>
      <c r="B45" s="142">
        <f t="shared" ref="B45:B76" si="27">(prepen1*(1+rinf)^(A45-1)/100000)-(pension/100000)-(income*(1+incrate)^(A45-1)/100000)</f>
        <v>140.84499594498322</v>
      </c>
      <c r="C45" s="73"/>
      <c r="D45" s="105">
        <f t="shared" ref="D45:D76" si="28">IF(E45&lt;&gt;"",E45,_min1)</f>
        <v>0.08</v>
      </c>
      <c r="E45" s="67">
        <v>0.08</v>
      </c>
      <c r="F45" s="67">
        <v>2.4390015070159088E-2</v>
      </c>
      <c r="G45" s="67">
        <f t="shared" ref="G45:G76" ca="1" si="29">IF(F45&lt;&gt;"",F45,NORMINV(RAND(),mean2,stdev2))</f>
        <v>2.4390015070159088E-2</v>
      </c>
      <c r="H45" s="67">
        <v>0.21173245840763608</v>
      </c>
      <c r="I45" s="67">
        <f t="shared" ref="I45:I76" ca="1" si="30">IF(H45&lt;&gt;"",H45,NORMINV(RAND(),mean3,stdev3))</f>
        <v>0.21173245840763608</v>
      </c>
      <c r="J45" s="67">
        <v>-6.588980482715634E-2</v>
      </c>
      <c r="K45" s="67">
        <f t="shared" ref="K45:K76" ca="1" si="31">IF(J45&lt;&gt;"",J45,NORMINV(RAND(),mean4,stdev4))</f>
        <v>-6.588980482715634E-2</v>
      </c>
      <c r="L45" s="105">
        <f t="shared" ref="L45:L76" ca="1" si="32">IF(M45&lt;&gt;"",M45,NORMINV(RAND(),mean5,stdev5))</f>
        <v>0.28663550533379289</v>
      </c>
      <c r="M45" s="67">
        <v>0.28663550533379289</v>
      </c>
      <c r="N45" s="73"/>
      <c r="O45" s="26">
        <f t="shared" si="14"/>
        <v>-4066</v>
      </c>
      <c r="P45" s="26">
        <f t="shared" ref="P45:P76" si="33">ROUND((P44-U44-V44+IF(trans3="bucket 2",X44)+IF(trans4="bucket 2",Z44)+IF(trans5="bucket 2",AB44))*(1+F45),0)</f>
        <v>283</v>
      </c>
      <c r="Q45" s="26">
        <f t="shared" ref="Q45:Q76" si="34">ROUND((Q44-W44-X44+IF(trans2="bucket 3",V44)+IF(trans4="bucket 3",Z44)+IF(trans5="bucket 3",AB44))*(1+H45),0)</f>
        <v>795</v>
      </c>
      <c r="R45" s="26">
        <f t="shared" ref="R45:R76" si="35">ROUND((R44-Y44-Z44+IF(trans2="bucket 4",V44)+IF(trans3="bucket 4",X44)+IF(trans5="bucket 4",AB44))*(1+J45),0)</f>
        <v>1606</v>
      </c>
      <c r="S45" s="36">
        <f t="shared" ref="S45:S76" si="36">ROUND((S44-AA44-AB44+IF(trans2="bucket 5",V44)+IF(trans3="bucket 5",X44)+IF(trans4="bucket 5",Z44))*(1+M45),0)</f>
        <v>15921</v>
      </c>
      <c r="T45" s="73"/>
      <c r="U45" s="78"/>
      <c r="V45" s="78"/>
      <c r="W45" s="26"/>
      <c r="X45" s="26"/>
      <c r="Y45" s="26"/>
      <c r="Z45" s="26"/>
      <c r="AA45" s="26"/>
      <c r="AB45" s="26"/>
      <c r="AC45" s="73"/>
      <c r="AD45" s="104">
        <f t="shared" si="10"/>
        <v>33</v>
      </c>
      <c r="AE45" s="11"/>
      <c r="AF45" s="21"/>
      <c r="AG45" s="21"/>
      <c r="AH45" s="21"/>
      <c r="AL45" s="219">
        <f>(1+alloc1*Simulator!E45+alloc2*Simulator!F45+alloc3*Simulator!H45+alloc4*Simulator!J45+alloc5*Simulator!M45)</f>
        <v>1.1068600632392067</v>
      </c>
      <c r="AM45" s="215">
        <f>IF(SUM($AM$13:AM44)&lt;&gt;0,0,IF(O45&lt;0,B45-O44,0))</f>
        <v>0</v>
      </c>
      <c r="AN45" s="12">
        <f t="shared" si="16"/>
        <v>0</v>
      </c>
      <c r="AO45" s="14"/>
      <c r="AP45" s="21"/>
      <c r="AQ45" s="214"/>
      <c r="AR45" s="145" t="e">
        <f t="shared" si="26"/>
        <v>#N/A</v>
      </c>
      <c r="AS45" s="146" t="e">
        <f t="shared" ref="AS45:AS76" si="37">IF(AQ45&lt;&gt;0,IF(AS44- B45&lt;0,NA(),(AS44-B45)*(1+retroi)),NA())</f>
        <v>#N/A</v>
      </c>
      <c r="AT45" s="220" t="e">
        <f>IF(AQ45&lt;&gt;0,IF((AT44-B45)*(1+alloc1*Simulator!E45+alloc2*Simulator!F45+alloc3*Simulator!H45+alloc4*Simulator!J45+alloc5*Simulator!M45)&lt;0,NA(),(AT44-B45)*(1+alloc1*Simulator!E45+alloc2*Simulator!F45+alloc3*Simulator!H45+alloc4*Simulator!J45+alloc5*Simulator!M45)),NA())</f>
        <v>#N/A</v>
      </c>
      <c r="AU45" s="219" t="e">
        <f t="shared" ref="AU45:AU76" si="38">IF(AQ45&lt;&gt;0,IF(AU44-B45&lt;0,NA(),(AU44-B45)*(1+retroi)),NA())</f>
        <v>#N/A</v>
      </c>
      <c r="AV45" s="83">
        <f t="shared" si="18"/>
        <v>18.999819078407914</v>
      </c>
      <c r="AW45" s="85" t="e">
        <f t="shared" si="13"/>
        <v>#DIV/0!</v>
      </c>
      <c r="AX45" s="1">
        <f t="shared" si="19"/>
        <v>27.412990462829558</v>
      </c>
      <c r="AY45" s="85" t="e">
        <f t="shared" si="20"/>
        <v>#DIV/0!</v>
      </c>
      <c r="AZ45" s="1">
        <f t="shared" si="21"/>
        <v>100.7385498034082</v>
      </c>
      <c r="BA45" s="85" t="e">
        <f t="shared" si="22"/>
        <v>#DIV/0!</v>
      </c>
      <c r="BB45" s="1">
        <f t="shared" si="23"/>
        <v>1045.2771749899482</v>
      </c>
      <c r="BC45" s="85" t="e">
        <f t="shared" si="24"/>
        <v>#DIV/0!</v>
      </c>
    </row>
    <row r="46" spans="1:55" hidden="1" x14ac:dyDescent="0.25">
      <c r="A46" s="104">
        <f t="shared" si="0"/>
        <v>34</v>
      </c>
      <c r="B46" s="142">
        <f t="shared" si="27"/>
        <v>152.11259562058189</v>
      </c>
      <c r="C46" s="27"/>
      <c r="D46" s="105">
        <f t="shared" si="28"/>
        <v>0.08</v>
      </c>
      <c r="E46" s="67">
        <v>0.08</v>
      </c>
      <c r="F46" s="67">
        <v>5.3733954722822386E-2</v>
      </c>
      <c r="G46" s="67">
        <f t="shared" ca="1" si="29"/>
        <v>5.3733954722822386E-2</v>
      </c>
      <c r="H46" s="67">
        <v>-4.3738953080226795E-2</v>
      </c>
      <c r="I46" s="67">
        <f t="shared" ca="1" si="30"/>
        <v>-4.3738953080226795E-2</v>
      </c>
      <c r="J46" s="67">
        <v>-0.13953671925192368</v>
      </c>
      <c r="K46" s="67">
        <f t="shared" ca="1" si="31"/>
        <v>-0.13953671925192368</v>
      </c>
      <c r="L46" s="105">
        <f t="shared" ca="1" si="32"/>
        <v>-0.10551373578473153</v>
      </c>
      <c r="M46" s="67">
        <v>-0.10551373578473153</v>
      </c>
      <c r="N46" s="27"/>
      <c r="O46" s="26">
        <f t="shared" si="14"/>
        <v>-4556</v>
      </c>
      <c r="P46" s="26">
        <f t="shared" si="33"/>
        <v>298</v>
      </c>
      <c r="Q46" s="26">
        <f t="shared" si="34"/>
        <v>760</v>
      </c>
      <c r="R46" s="26">
        <f t="shared" si="35"/>
        <v>1382</v>
      </c>
      <c r="S46" s="36">
        <f t="shared" si="36"/>
        <v>14241</v>
      </c>
      <c r="T46" s="73"/>
      <c r="U46" s="78"/>
      <c r="V46" s="78"/>
      <c r="W46" s="26"/>
      <c r="X46" s="26"/>
      <c r="Y46" s="26"/>
      <c r="Z46" s="26"/>
      <c r="AA46" s="26"/>
      <c r="AB46" s="26"/>
      <c r="AC46" s="73"/>
      <c r="AD46" s="104">
        <f t="shared" si="10"/>
        <v>34</v>
      </c>
      <c r="AE46" s="11"/>
      <c r="AF46" s="21"/>
      <c r="AG46" s="21"/>
      <c r="AH46" s="21"/>
      <c r="AL46" s="219">
        <f>(1+alloc1*Simulator!E46+alloc2*Simulator!F46+alloc3*Simulator!H46+alloc4*Simulator!J46+alloc5*Simulator!M46)</f>
        <v>1.0121205593525715</v>
      </c>
      <c r="AM46" s="215">
        <f>IF(SUM($AM$13:AM45)&lt;&gt;0,0,IF(O46&lt;0,B46-O45,0))</f>
        <v>0</v>
      </c>
      <c r="AN46" s="12">
        <f t="shared" si="16"/>
        <v>0</v>
      </c>
      <c r="AO46" s="14"/>
      <c r="AP46" s="21"/>
      <c r="AQ46" s="214"/>
      <c r="AR46" s="145" t="e">
        <f t="shared" si="26"/>
        <v>#N/A</v>
      </c>
      <c r="AS46" s="146" t="e">
        <f t="shared" si="37"/>
        <v>#N/A</v>
      </c>
      <c r="AT46" s="220" t="e">
        <f>IF(AQ46&lt;&gt;0,IF((AT45-B46)*(1+alloc1*Simulator!E46+alloc2*Simulator!F46+alloc3*Simulator!H46+alloc4*Simulator!J46+alloc5*Simulator!M46)&lt;0,NA(),(AT45-B46)*(1+alloc1*Simulator!E46+alloc2*Simulator!F46+alloc3*Simulator!H46+alloc4*Simulator!J46+alloc5*Simulator!M46)),NA())</f>
        <v>#N/A</v>
      </c>
      <c r="AU46" s="219" t="e">
        <f t="shared" si="38"/>
        <v>#N/A</v>
      </c>
      <c r="AV46" s="83">
        <f t="shared" si="18"/>
        <v>20.0207544965089</v>
      </c>
      <c r="AW46" s="85" t="e">
        <f t="shared" si="13"/>
        <v>#DIV/0!</v>
      </c>
      <c r="AX46" s="1">
        <f t="shared" si="19"/>
        <v>26.213974959187151</v>
      </c>
      <c r="AY46" s="85" t="e">
        <f t="shared" si="20"/>
        <v>#DIV/0!</v>
      </c>
      <c r="AZ46" s="1">
        <f t="shared" si="21"/>
        <v>86.681823061644096</v>
      </c>
      <c r="BA46" s="85" t="e">
        <f t="shared" si="22"/>
        <v>#DIV/0!</v>
      </c>
      <c r="BB46" s="1">
        <f t="shared" si="23"/>
        <v>934.98607532624817</v>
      </c>
      <c r="BC46" s="85" t="e">
        <f t="shared" si="24"/>
        <v>#DIV/0!</v>
      </c>
    </row>
    <row r="47" spans="1:55" hidden="1" x14ac:dyDescent="0.25">
      <c r="A47" s="104">
        <f t="shared" si="0"/>
        <v>35</v>
      </c>
      <c r="B47" s="142">
        <f t="shared" si="27"/>
        <v>164.28160327022843</v>
      </c>
      <c r="C47" s="27"/>
      <c r="D47" s="105">
        <f t="shared" si="28"/>
        <v>0.08</v>
      </c>
      <c r="E47" s="67">
        <v>0.08</v>
      </c>
      <c r="F47" s="67">
        <v>0.11606026001757984</v>
      </c>
      <c r="G47" s="67">
        <f t="shared" ca="1" si="29"/>
        <v>0.11606026001757984</v>
      </c>
      <c r="H47" s="67">
        <v>8.042763963148615E-2</v>
      </c>
      <c r="I47" s="67">
        <f t="shared" ca="1" si="30"/>
        <v>8.042763963148615E-2</v>
      </c>
      <c r="J47" s="67">
        <v>4.8403673561246058E-2</v>
      </c>
      <c r="K47" s="67">
        <f t="shared" ca="1" si="31"/>
        <v>4.8403673561246058E-2</v>
      </c>
      <c r="L47" s="105">
        <f t="shared" ca="1" si="32"/>
        <v>2.8402716224956992E-2</v>
      </c>
      <c r="M47" s="67">
        <v>2.8402716224956992E-2</v>
      </c>
      <c r="N47" s="27"/>
      <c r="O47" s="26">
        <f t="shared" si="14"/>
        <v>-5098</v>
      </c>
      <c r="P47" s="26">
        <f t="shared" si="33"/>
        <v>333</v>
      </c>
      <c r="Q47" s="26">
        <f t="shared" si="34"/>
        <v>821</v>
      </c>
      <c r="R47" s="26">
        <f t="shared" si="35"/>
        <v>1449</v>
      </c>
      <c r="S47" s="36">
        <f t="shared" si="36"/>
        <v>14645</v>
      </c>
      <c r="T47" s="73"/>
      <c r="U47" s="78"/>
      <c r="V47" s="78"/>
      <c r="W47" s="26"/>
      <c r="X47" s="26"/>
      <c r="Y47" s="26"/>
      <c r="Z47" s="26"/>
      <c r="AA47" s="26"/>
      <c r="AB47" s="26"/>
      <c r="AC47" s="73"/>
      <c r="AD47" s="104">
        <f t="shared" si="10"/>
        <v>35</v>
      </c>
      <c r="AE47" s="11"/>
      <c r="AF47" s="12"/>
      <c r="AG47" s="12"/>
      <c r="AH47" s="12"/>
      <c r="AL47" s="219">
        <f>(1+alloc1*Simulator!E47+alloc2*Simulator!F47+alloc3*Simulator!H47+alloc4*Simulator!J47+alloc5*Simulator!M47)</f>
        <v>1.0753721929066757</v>
      </c>
      <c r="AM47" s="215">
        <f>IF(SUM($AM$13:AM46)&lt;&gt;0,0,IF(O47&lt;0,B47-O46,0))</f>
        <v>0</v>
      </c>
      <c r="AN47" s="12">
        <f t="shared" si="16"/>
        <v>0</v>
      </c>
      <c r="AO47" s="12"/>
      <c r="AP47" s="12"/>
      <c r="AQ47" s="211"/>
      <c r="AR47" s="145" t="e">
        <f t="shared" si="26"/>
        <v>#N/A</v>
      </c>
      <c r="AS47" s="146" t="e">
        <f t="shared" si="37"/>
        <v>#N/A</v>
      </c>
      <c r="AT47" s="220" t="e">
        <f>IF(AQ47&lt;&gt;0,IF((AT46-B47)*(1+alloc1*Simulator!E47+alloc2*Simulator!F47+alloc3*Simulator!H47+alloc4*Simulator!J47+alloc5*Simulator!M47)&lt;0,NA(),(AT46-B47)*(1+alloc1*Simulator!E47+alloc2*Simulator!F47+alloc3*Simulator!H47+alloc4*Simulator!J47+alloc5*Simulator!M47)),NA())</f>
        <v>#N/A</v>
      </c>
      <c r="AU47" s="219" t="e">
        <f t="shared" si="38"/>
        <v>#N/A</v>
      </c>
      <c r="AV47" s="83">
        <f t="shared" si="18"/>
        <v>22.34436846912185</v>
      </c>
      <c r="AW47" s="85" t="e">
        <f t="shared" si="13"/>
        <v>#DIV/0!</v>
      </c>
      <c r="AX47" s="1">
        <f t="shared" si="19"/>
        <v>28.322303090513461</v>
      </c>
      <c r="AY47" s="85" t="e">
        <f t="shared" si="20"/>
        <v>#DIV/0!</v>
      </c>
      <c r="AZ47" s="1">
        <f t="shared" si="21"/>
        <v>90.877541728813611</v>
      </c>
      <c r="BA47" s="85" t="e">
        <f t="shared" si="22"/>
        <v>#DIV/0!</v>
      </c>
      <c r="BB47" s="1">
        <f t="shared" si="23"/>
        <v>961.54221949802582</v>
      </c>
      <c r="BC47" s="85" t="e">
        <f t="shared" si="24"/>
        <v>#DIV/0!</v>
      </c>
    </row>
    <row r="48" spans="1:55" hidden="1" x14ac:dyDescent="0.25">
      <c r="A48" s="104">
        <f t="shared" si="0"/>
        <v>36</v>
      </c>
      <c r="B48" s="142">
        <f t="shared" si="27"/>
        <v>177.42413153184671</v>
      </c>
      <c r="C48" s="27"/>
      <c r="D48" s="105">
        <f t="shared" si="28"/>
        <v>0.08</v>
      </c>
      <c r="E48" s="67">
        <v>0.08</v>
      </c>
      <c r="F48" s="67">
        <v>9.6053979332798287E-2</v>
      </c>
      <c r="G48" s="67">
        <f t="shared" ca="1" si="29"/>
        <v>9.6053979332798287E-2</v>
      </c>
      <c r="H48" s="67">
        <v>-4.4473446836711117E-2</v>
      </c>
      <c r="I48" s="67">
        <f t="shared" ca="1" si="30"/>
        <v>-4.4473446836711117E-2</v>
      </c>
      <c r="J48" s="67">
        <v>0.21908018138168875</v>
      </c>
      <c r="K48" s="67">
        <f t="shared" ca="1" si="31"/>
        <v>0.21908018138168875</v>
      </c>
      <c r="L48" s="105">
        <f t="shared" ca="1" si="32"/>
        <v>0.25752375775414793</v>
      </c>
      <c r="M48" s="67">
        <v>0.25752375775414793</v>
      </c>
      <c r="N48" s="27"/>
      <c r="O48" s="26">
        <f t="shared" si="14"/>
        <v>-5697</v>
      </c>
      <c r="P48" s="26">
        <f t="shared" si="33"/>
        <v>365</v>
      </c>
      <c r="Q48" s="26">
        <f t="shared" si="34"/>
        <v>784</v>
      </c>
      <c r="R48" s="26">
        <f t="shared" si="35"/>
        <v>1766</v>
      </c>
      <c r="S48" s="36">
        <f t="shared" si="36"/>
        <v>18416</v>
      </c>
      <c r="T48" s="73"/>
      <c r="U48" s="78"/>
      <c r="V48" s="78"/>
      <c r="W48" s="26"/>
      <c r="X48" s="26"/>
      <c r="Y48" s="26"/>
      <c r="Z48" s="26"/>
      <c r="AA48" s="26"/>
      <c r="AB48" s="26"/>
      <c r="AC48" s="73"/>
      <c r="AD48" s="104">
        <f t="shared" si="10"/>
        <v>36</v>
      </c>
      <c r="AE48" s="11"/>
      <c r="AF48" s="12"/>
      <c r="AG48" s="12"/>
      <c r="AH48" s="12"/>
      <c r="AL48" s="219">
        <f>(1+alloc1*Simulator!E48+alloc2*Simulator!F48+alloc3*Simulator!H48+alloc4*Simulator!J48+alloc5*Simulator!M48)</f>
        <v>1.0883711024795211</v>
      </c>
      <c r="AM48" s="215">
        <f>IF(SUM($AM$13:AM47)&lt;&gt;0,0,IF(O48&lt;0,B48-O47,0))</f>
        <v>0</v>
      </c>
      <c r="AN48" s="12">
        <f t="shared" si="16"/>
        <v>0</v>
      </c>
      <c r="AO48" s="12"/>
      <c r="AP48" s="12"/>
      <c r="AQ48" s="211"/>
      <c r="AR48" s="145" t="e">
        <f t="shared" si="26"/>
        <v>#N/A</v>
      </c>
      <c r="AS48" s="146" t="e">
        <f t="shared" si="37"/>
        <v>#N/A</v>
      </c>
      <c r="AT48" s="220" t="e">
        <f>IF(AQ48&lt;&gt;0,IF((AT47-B48)*(1+alloc1*Simulator!E48+alloc2*Simulator!F48+alloc3*Simulator!H48+alloc4*Simulator!J48+alloc5*Simulator!M48)&lt;0,NA(),(AT47-B48)*(1+alloc1*Simulator!E48+alloc2*Simulator!F48+alloc3*Simulator!H48+alloc4*Simulator!J48+alloc5*Simulator!M48)),NA())</f>
        <v>#N/A</v>
      </c>
      <c r="AU48" s="219" t="e">
        <f t="shared" si="38"/>
        <v>#N/A</v>
      </c>
      <c r="AV48" s="83">
        <f t="shared" si="18"/>
        <v>24.490633976259311</v>
      </c>
      <c r="AW48" s="85" t="e">
        <f>(AV48/$AV$12)^(1/AQ48)-1</f>
        <v>#DIV/0!</v>
      </c>
      <c r="AX48" s="1">
        <f t="shared" si="19"/>
        <v>27.06271264972429</v>
      </c>
      <c r="AY48" s="85" t="e">
        <f>(AX48/$AX$12)^(1/AQ48)-1</f>
        <v>#DIV/0!</v>
      </c>
      <c r="AZ48" s="1">
        <f t="shared" si="21"/>
        <v>110.78701005428408</v>
      </c>
      <c r="BA48" s="85" t="e">
        <f>(AZ48/$AZ$12)^(1/AQ48)-1</f>
        <v>#DIV/0!</v>
      </c>
      <c r="BB48" s="1">
        <f t="shared" si="23"/>
        <v>1209.1621851024211</v>
      </c>
      <c r="BC48" s="85" t="e">
        <f>(BB48/$BB$12)^(1/AQ48)-1</f>
        <v>#DIV/0!</v>
      </c>
    </row>
    <row r="49" spans="1:55" hidden="1" x14ac:dyDescent="0.25">
      <c r="A49" s="104">
        <f t="shared" si="0"/>
        <v>37</v>
      </c>
      <c r="B49" s="142">
        <f t="shared" si="27"/>
        <v>191.61806205439447</v>
      </c>
      <c r="C49" s="27"/>
      <c r="D49" s="105">
        <f t="shared" si="28"/>
        <v>0.08</v>
      </c>
      <c r="E49" s="67">
        <v>0.08</v>
      </c>
      <c r="F49" s="67">
        <v>0.10384509931508026</v>
      </c>
      <c r="G49" s="67">
        <f t="shared" ca="1" si="29"/>
        <v>0.10384509931508026</v>
      </c>
      <c r="H49" s="67">
        <v>4.3899714169554099E-2</v>
      </c>
      <c r="I49" s="67">
        <f t="shared" ca="1" si="30"/>
        <v>4.3899714169554099E-2</v>
      </c>
      <c r="J49" s="67">
        <v>-3.3785040404133326E-2</v>
      </c>
      <c r="K49" s="67">
        <f t="shared" ca="1" si="31"/>
        <v>-3.3785040404133326E-2</v>
      </c>
      <c r="L49" s="105">
        <f t="shared" ca="1" si="32"/>
        <v>-6.2466128038752233E-2</v>
      </c>
      <c r="M49" s="67">
        <v>-6.2466128038752233E-2</v>
      </c>
      <c r="N49" s="27"/>
      <c r="O49" s="26">
        <f t="shared" si="14"/>
        <v>-6360</v>
      </c>
      <c r="P49" s="26">
        <f t="shared" si="33"/>
        <v>403</v>
      </c>
      <c r="Q49" s="26">
        <f t="shared" si="34"/>
        <v>818</v>
      </c>
      <c r="R49" s="26">
        <f t="shared" si="35"/>
        <v>1706</v>
      </c>
      <c r="S49" s="36">
        <f t="shared" si="36"/>
        <v>17266</v>
      </c>
      <c r="T49" s="73"/>
      <c r="U49" s="78"/>
      <c r="V49" s="78"/>
      <c r="W49" s="26"/>
      <c r="X49" s="26"/>
      <c r="Y49" s="26"/>
      <c r="Z49" s="26"/>
      <c r="AA49" s="26"/>
      <c r="AB49" s="26"/>
      <c r="AC49" s="73"/>
      <c r="AD49" s="104">
        <f t="shared" si="10"/>
        <v>37</v>
      </c>
      <c r="AE49" s="11"/>
      <c r="AF49" s="12"/>
      <c r="AG49" s="12"/>
      <c r="AH49" s="12"/>
      <c r="AL49" s="219">
        <f>(1+alloc1*Simulator!E49+alloc2*Simulator!F49+alloc3*Simulator!H49+alloc4*Simulator!J49+alloc5*Simulator!M49)</f>
        <v>1.0495393359211305</v>
      </c>
      <c r="AM49" s="215">
        <f>IF(SUM($AM$13:AM48)&lt;&gt;0,0,IF(O49&lt;0,B49-O48,0))</f>
        <v>0</v>
      </c>
      <c r="AN49" s="12">
        <f t="shared" si="16"/>
        <v>0</v>
      </c>
      <c r="AO49" s="12"/>
      <c r="AP49" s="12"/>
      <c r="AQ49" s="211"/>
      <c r="AR49" s="145" t="e">
        <f t="shared" si="26"/>
        <v>#N/A</v>
      </c>
      <c r="AS49" s="146" t="e">
        <f t="shared" si="37"/>
        <v>#N/A</v>
      </c>
      <c r="AT49" s="220" t="e">
        <f>IF(AQ49&lt;&gt;0,IF((AT48-B49)*(1+alloc1*Simulator!E49+alloc2*Simulator!F49+alloc3*Simulator!H49+alloc4*Simulator!J49+alloc5*Simulator!M49)&lt;0,NA(),(AT48-B49)*(1+alloc1*Simulator!E49+alloc2*Simulator!F49+alloc3*Simulator!H49+alloc4*Simulator!J49+alloc5*Simulator!M49)),NA())</f>
        <v>#N/A</v>
      </c>
      <c r="AU49" s="219" t="e">
        <f t="shared" si="38"/>
        <v>#N/A</v>
      </c>
      <c r="AV49" s="83">
        <f t="shared" si="18"/>
        <v>27.03386629381324</v>
      </c>
      <c r="AW49" s="85" t="e">
        <f t="shared" si="13"/>
        <v>#DIV/0!</v>
      </c>
      <c r="AX49" s="1">
        <f t="shared" si="19"/>
        <v>28.25075799969996</v>
      </c>
      <c r="AY49" s="85" t="e">
        <f t="shared" si="20"/>
        <v>#DIV/0!</v>
      </c>
      <c r="AZ49" s="1">
        <f t="shared" si="21"/>
        <v>107.04406644334696</v>
      </c>
      <c r="BA49" s="85" t="e">
        <f t="shared" si="22"/>
        <v>#DIV/0!</v>
      </c>
      <c r="BB49" s="1">
        <f t="shared" si="23"/>
        <v>1133.6305052281959</v>
      </c>
      <c r="BC49" s="85" t="e">
        <f t="shared" si="24"/>
        <v>#DIV/0!</v>
      </c>
    </row>
    <row r="50" spans="1:55" hidden="1" x14ac:dyDescent="0.25">
      <c r="A50" s="104">
        <f t="shared" si="0"/>
        <v>38</v>
      </c>
      <c r="B50" s="142">
        <f t="shared" si="27"/>
        <v>206.94750701874602</v>
      </c>
      <c r="C50" s="27"/>
      <c r="D50" s="105">
        <f t="shared" si="28"/>
        <v>0.08</v>
      </c>
      <c r="E50" s="67">
        <v>0.08</v>
      </c>
      <c r="F50" s="67">
        <v>7.6460262315264732E-2</v>
      </c>
      <c r="G50" s="67">
        <f t="shared" ca="1" si="29"/>
        <v>7.6460262315264732E-2</v>
      </c>
      <c r="H50" s="67">
        <v>-5.8232619047703021E-2</v>
      </c>
      <c r="I50" s="67">
        <f t="shared" ca="1" si="30"/>
        <v>-5.8232619047703021E-2</v>
      </c>
      <c r="J50" s="67">
        <v>0.10662454532847485</v>
      </c>
      <c r="K50" s="67">
        <f t="shared" ca="1" si="31"/>
        <v>0.10662454532847485</v>
      </c>
      <c r="L50" s="105">
        <f t="shared" ca="1" si="32"/>
        <v>0.52079952960267473</v>
      </c>
      <c r="M50" s="67">
        <v>0.52079952960267473</v>
      </c>
      <c r="N50" s="27"/>
      <c r="O50" s="26">
        <f t="shared" si="14"/>
        <v>-7092</v>
      </c>
      <c r="P50" s="26">
        <f t="shared" si="33"/>
        <v>434</v>
      </c>
      <c r="Q50" s="26">
        <f t="shared" si="34"/>
        <v>770</v>
      </c>
      <c r="R50" s="26">
        <f t="shared" si="35"/>
        <v>1888</v>
      </c>
      <c r="S50" s="36">
        <f t="shared" si="36"/>
        <v>26258</v>
      </c>
      <c r="T50" s="73"/>
      <c r="U50" s="78"/>
      <c r="V50" s="78"/>
      <c r="W50" s="26"/>
      <c r="X50" s="26"/>
      <c r="Y50" s="26"/>
      <c r="Z50" s="26"/>
      <c r="AA50" s="26"/>
      <c r="AB50" s="26"/>
      <c r="AC50" s="73"/>
      <c r="AD50" s="104">
        <f t="shared" si="10"/>
        <v>38</v>
      </c>
      <c r="AE50" s="11"/>
      <c r="AF50" s="12"/>
      <c r="AG50" s="12"/>
      <c r="AH50" s="12"/>
      <c r="AL50" s="219">
        <f>(1+alloc1*Simulator!E50+alloc2*Simulator!F50+alloc3*Simulator!H50+alloc4*Simulator!J50+alloc5*Simulator!M50)</f>
        <v>1.098741909915101</v>
      </c>
      <c r="AM50" s="215">
        <f>IF(SUM($AM$13:AM49)&lt;&gt;0,0,IF(O50&lt;0,B50-O49,0))</f>
        <v>0</v>
      </c>
      <c r="AN50" s="12">
        <f t="shared" si="16"/>
        <v>0</v>
      </c>
      <c r="AO50" s="12"/>
      <c r="AP50" s="12"/>
      <c r="AQ50" s="211"/>
      <c r="AR50" s="145" t="e">
        <f t="shared" si="26"/>
        <v>#N/A</v>
      </c>
      <c r="AS50" s="146" t="e">
        <f t="shared" si="37"/>
        <v>#N/A</v>
      </c>
      <c r="AT50" s="220" t="e">
        <f>IF(AQ50&lt;&gt;0,IF((AT49-B50)*(1+alloc1*Simulator!E50+alloc2*Simulator!F50+alloc3*Simulator!H50+alloc4*Simulator!J50+alloc5*Simulator!M50)&lt;0,NA(),(AT49-B50)*(1+alloc1*Simulator!E50+alloc2*Simulator!F50+alloc3*Simulator!H50+alloc4*Simulator!J50+alloc5*Simulator!M50)),NA())</f>
        <v>#N/A</v>
      </c>
      <c r="AU50" s="219" t="e">
        <f t="shared" si="38"/>
        <v>#N/A</v>
      </c>
      <c r="AV50" s="83">
        <f t="shared" si="18"/>
        <v>29.100882802033997</v>
      </c>
      <c r="AW50" s="85" t="e">
        <f t="shared" si="13"/>
        <v>#DIV/0!</v>
      </c>
      <c r="AX50" s="1">
        <f t="shared" si="19"/>
        <v>26.605642371294582</v>
      </c>
      <c r="AY50" s="85" t="e">
        <f t="shared" si="20"/>
        <v>#DIV/0!</v>
      </c>
      <c r="AZ50" s="1">
        <f t="shared" si="21"/>
        <v>118.45759135797989</v>
      </c>
      <c r="BA50" s="85" t="e">
        <f t="shared" si="22"/>
        <v>#DIV/0!</v>
      </c>
      <c r="BB50" s="1">
        <f t="shared" si="23"/>
        <v>1724.0247390942829</v>
      </c>
      <c r="BC50" s="85" t="e">
        <f t="shared" si="24"/>
        <v>#DIV/0!</v>
      </c>
    </row>
    <row r="51" spans="1:55" hidden="1" x14ac:dyDescent="0.25">
      <c r="A51" s="104">
        <f t="shared" si="0"/>
        <v>39</v>
      </c>
      <c r="B51" s="142">
        <f t="shared" si="27"/>
        <v>223.50330758024575</v>
      </c>
      <c r="C51" s="27"/>
      <c r="D51" s="105">
        <f t="shared" si="28"/>
        <v>0.08</v>
      </c>
      <c r="E51" s="67">
        <v>0.08</v>
      </c>
      <c r="F51" s="67">
        <v>6.0967732007242779E-2</v>
      </c>
      <c r="G51" s="67">
        <f t="shared" ca="1" si="29"/>
        <v>6.0967732007242779E-2</v>
      </c>
      <c r="H51" s="67">
        <v>-5.7726759092137592E-2</v>
      </c>
      <c r="I51" s="67">
        <f t="shared" ca="1" si="30"/>
        <v>-5.7726759092137592E-2</v>
      </c>
      <c r="J51" s="67">
        <v>3.2401877109839675E-2</v>
      </c>
      <c r="K51" s="67">
        <f t="shared" ca="1" si="31"/>
        <v>3.2401877109839675E-2</v>
      </c>
      <c r="L51" s="105">
        <f t="shared" ca="1" si="32"/>
        <v>0.28049166644440537</v>
      </c>
      <c r="M51" s="67">
        <v>0.28049166644440537</v>
      </c>
      <c r="N51" s="27"/>
      <c r="O51" s="26">
        <f t="shared" si="14"/>
        <v>-7901</v>
      </c>
      <c r="P51" s="26">
        <f t="shared" si="33"/>
        <v>460</v>
      </c>
      <c r="Q51" s="26">
        <f t="shared" si="34"/>
        <v>726</v>
      </c>
      <c r="R51" s="26">
        <f t="shared" si="35"/>
        <v>1949</v>
      </c>
      <c r="S51" s="36">
        <f t="shared" si="36"/>
        <v>33623</v>
      </c>
      <c r="T51" s="73"/>
      <c r="U51" s="78"/>
      <c r="V51" s="78"/>
      <c r="W51" s="26"/>
      <c r="X51" s="26"/>
      <c r="Y51" s="26"/>
      <c r="Z51" s="26"/>
      <c r="AA51" s="26"/>
      <c r="AB51" s="26"/>
      <c r="AC51" s="73"/>
      <c r="AD51" s="104">
        <f t="shared" si="10"/>
        <v>39</v>
      </c>
      <c r="AE51" s="11"/>
      <c r="AF51" s="12"/>
      <c r="AG51" s="12"/>
      <c r="AH51" s="12"/>
      <c r="AL51" s="219">
        <f>(1+alloc1*Simulator!E51+alloc2*Simulator!F51+alloc3*Simulator!H51+alloc4*Simulator!J51+alloc5*Simulator!M51)</f>
        <v>1.0658407757377213</v>
      </c>
      <c r="AM51" s="215">
        <f>IF(SUM($AM$13:AM50)&lt;&gt;0,0,IF(O51&lt;0,B51-O50,0))</f>
        <v>0</v>
      </c>
      <c r="AN51" s="12">
        <f t="shared" si="16"/>
        <v>0</v>
      </c>
      <c r="AO51" s="12"/>
      <c r="AP51" s="12"/>
      <c r="AQ51" s="211"/>
      <c r="AR51" s="145" t="e">
        <f t="shared" si="26"/>
        <v>#N/A</v>
      </c>
      <c r="AS51" s="146" t="e">
        <f t="shared" si="37"/>
        <v>#N/A</v>
      </c>
      <c r="AT51" s="220" t="e">
        <f>IF(AQ51&lt;&gt;0,IF((AT50-B51)*(1+alloc1*Simulator!E51+alloc2*Simulator!F51+alloc3*Simulator!H51+alloc4*Simulator!J51+alloc5*Simulator!M51)&lt;0,NA(),(AT50-B51)*(1+alloc1*Simulator!E51+alloc2*Simulator!F51+alloc3*Simulator!H51+alloc4*Simulator!J51+alloc5*Simulator!M51)),NA())</f>
        <v>#N/A</v>
      </c>
      <c r="AU51" s="219" t="e">
        <f t="shared" si="38"/>
        <v>#N/A</v>
      </c>
      <c r="AV51" s="83">
        <f t="shared" si="18"/>
        <v>30.875097625882589</v>
      </c>
      <c r="AW51" s="85" t="e">
        <f t="shared" si="13"/>
        <v>#DIV/0!</v>
      </c>
      <c r="AX51" s="1">
        <f t="shared" si="19"/>
        <v>25.069784863635292</v>
      </c>
      <c r="AY51" s="85" t="e">
        <f t="shared" si="20"/>
        <v>#DIV/0!</v>
      </c>
      <c r="AZ51" s="1">
        <f t="shared" si="21"/>
        <v>122.29583967588877</v>
      </c>
      <c r="BA51" s="85" t="e">
        <f t="shared" si="22"/>
        <v>#DIV/0!</v>
      </c>
      <c r="BB51" s="1">
        <f t="shared" si="23"/>
        <v>2207.5993111542198</v>
      </c>
      <c r="BC51" s="85" t="e">
        <f t="shared" si="24"/>
        <v>#DIV/0!</v>
      </c>
    </row>
    <row r="52" spans="1:55" hidden="1" x14ac:dyDescent="0.25">
      <c r="A52" s="104">
        <f t="shared" si="0"/>
        <v>40</v>
      </c>
      <c r="B52" s="142">
        <f t="shared" si="27"/>
        <v>241.38357218666539</v>
      </c>
      <c r="C52" s="27"/>
      <c r="D52" s="105">
        <f t="shared" si="28"/>
        <v>0.08</v>
      </c>
      <c r="E52" s="67">
        <v>0.08</v>
      </c>
      <c r="F52" s="67">
        <v>7.4499172768901112E-2</v>
      </c>
      <c r="G52" s="67">
        <f t="shared" ca="1" si="29"/>
        <v>7.4499172768901112E-2</v>
      </c>
      <c r="H52" s="67">
        <v>0.15860302751920319</v>
      </c>
      <c r="I52" s="67">
        <f t="shared" ca="1" si="30"/>
        <v>0.15860302751920319</v>
      </c>
      <c r="J52" s="67">
        <v>0.20065303489815417</v>
      </c>
      <c r="K52" s="67">
        <f t="shared" ca="1" si="31"/>
        <v>0.20065303489815417</v>
      </c>
      <c r="L52" s="105">
        <f t="shared" ca="1" si="32"/>
        <v>0.13555242220660663</v>
      </c>
      <c r="M52" s="67">
        <v>0.13555242220660663</v>
      </c>
      <c r="N52" s="27"/>
      <c r="O52" s="26">
        <f t="shared" si="14"/>
        <v>-8794</v>
      </c>
      <c r="P52" s="26">
        <f t="shared" si="33"/>
        <v>494</v>
      </c>
      <c r="Q52" s="26">
        <f t="shared" si="34"/>
        <v>841</v>
      </c>
      <c r="R52" s="26">
        <f t="shared" si="35"/>
        <v>2340</v>
      </c>
      <c r="S52" s="36">
        <f t="shared" si="36"/>
        <v>38181</v>
      </c>
      <c r="T52" s="73"/>
      <c r="U52" s="78"/>
      <c r="V52" s="78"/>
      <c r="W52" s="26"/>
      <c r="X52" s="26"/>
      <c r="Y52" s="26"/>
      <c r="Z52" s="26"/>
      <c r="AA52" s="26"/>
      <c r="AB52" s="26"/>
      <c r="AC52" s="73"/>
      <c r="AD52" s="104">
        <f t="shared" si="10"/>
        <v>40</v>
      </c>
      <c r="AE52" s="11"/>
      <c r="AF52" s="12"/>
      <c r="AG52" s="12"/>
      <c r="AH52" s="12"/>
      <c r="AL52" s="219">
        <f>(1+alloc1*Simulator!E52+alloc2*Simulator!F52+alloc3*Simulator!H52+alloc4*Simulator!J52+alloc5*Simulator!M52)</f>
        <v>1.1127910684912068</v>
      </c>
      <c r="AM52" s="215">
        <f>IF(SUM($AM$13:AM51)&lt;&gt;0,0,IF(O52&lt;0,B52-O51,0))</f>
        <v>0</v>
      </c>
      <c r="AN52" s="12">
        <f t="shared" si="16"/>
        <v>0</v>
      </c>
      <c r="AO52" s="12"/>
      <c r="AP52" s="12"/>
      <c r="AQ52" s="211"/>
      <c r="AR52" s="145" t="e">
        <f t="shared" si="26"/>
        <v>#N/A</v>
      </c>
      <c r="AS52" s="146" t="e">
        <f t="shared" si="37"/>
        <v>#N/A</v>
      </c>
      <c r="AT52" s="220" t="e">
        <f>IF(AQ52&lt;&gt;0,IF((AT51-B52)*(1+alloc1*Simulator!E52+alloc2*Simulator!F52+alloc3*Simulator!H52+alloc4*Simulator!J52+alloc5*Simulator!M52)&lt;0,NA(),(AT51-B52)*(1+alloc1*Simulator!E52+alloc2*Simulator!F52+alloc3*Simulator!H52+alloc4*Simulator!J52+alloc5*Simulator!M52)),NA())</f>
        <v>#N/A</v>
      </c>
      <c r="AU52" s="219" t="e">
        <f t="shared" si="38"/>
        <v>#N/A</v>
      </c>
      <c r="AV52" s="83">
        <f t="shared" si="18"/>
        <v>33.175266858169906</v>
      </c>
      <c r="AW52" s="85" t="e">
        <f t="shared" si="13"/>
        <v>#DIV/0!</v>
      </c>
      <c r="AX52" s="1">
        <f t="shared" si="19"/>
        <v>29.045928642262943</v>
      </c>
      <c r="AY52" s="85" t="e">
        <f t="shared" si="20"/>
        <v>#DIV/0!</v>
      </c>
      <c r="AZ52" s="1">
        <f t="shared" si="21"/>
        <v>146.83487106227395</v>
      </c>
      <c r="BA52" s="85" t="e">
        <f t="shared" si="22"/>
        <v>#DIV/0!</v>
      </c>
      <c r="BB52" s="1">
        <f t="shared" si="23"/>
        <v>2506.8447450428107</v>
      </c>
      <c r="BC52" s="85" t="e">
        <f t="shared" si="24"/>
        <v>#DIV/0!</v>
      </c>
    </row>
    <row r="53" spans="1:55" hidden="1" x14ac:dyDescent="0.25">
      <c r="A53" s="104">
        <f t="shared" si="0"/>
        <v>41</v>
      </c>
      <c r="B53" s="142">
        <f t="shared" si="27"/>
        <v>260.69425796159862</v>
      </c>
      <c r="C53" s="27"/>
      <c r="D53" s="105">
        <f t="shared" si="28"/>
        <v>0.08</v>
      </c>
      <c r="E53" s="67">
        <v>0.08</v>
      </c>
      <c r="F53" s="67">
        <v>5.9661061638496028E-2</v>
      </c>
      <c r="G53" s="67">
        <f t="shared" ca="1" si="29"/>
        <v>5.9661061638496028E-2</v>
      </c>
      <c r="H53" s="67">
        <v>2.6702633490434918E-2</v>
      </c>
      <c r="I53" s="67">
        <f t="shared" ca="1" si="30"/>
        <v>2.6702633490434918E-2</v>
      </c>
      <c r="J53" s="67">
        <v>3.71715574468931E-3</v>
      </c>
      <c r="K53" s="67">
        <f t="shared" ca="1" si="31"/>
        <v>3.71715574468931E-3</v>
      </c>
      <c r="L53" s="105">
        <f t="shared" ca="1" si="32"/>
        <v>0.21808135019288344</v>
      </c>
      <c r="M53" s="67">
        <v>0.21808135019288344</v>
      </c>
      <c r="N53" s="27"/>
      <c r="O53" s="26">
        <f t="shared" si="14"/>
        <v>-9779</v>
      </c>
      <c r="P53" s="26">
        <f t="shared" si="33"/>
        <v>523</v>
      </c>
      <c r="Q53" s="26">
        <f t="shared" si="34"/>
        <v>863</v>
      </c>
      <c r="R53" s="26">
        <f t="shared" si="35"/>
        <v>2349</v>
      </c>
      <c r="S53" s="36">
        <f t="shared" si="36"/>
        <v>46508</v>
      </c>
      <c r="T53" s="73"/>
      <c r="U53" s="78"/>
      <c r="V53" s="78"/>
      <c r="W53" s="26"/>
      <c r="X53" s="26"/>
      <c r="Y53" s="26"/>
      <c r="Z53" s="26"/>
      <c r="AA53" s="26"/>
      <c r="AB53" s="26"/>
      <c r="AC53" s="73"/>
      <c r="AD53" s="104">
        <f t="shared" si="10"/>
        <v>41</v>
      </c>
      <c r="AE53" s="11"/>
      <c r="AF53" s="12"/>
      <c r="AG53" s="12"/>
      <c r="AH53" s="12"/>
      <c r="AL53" s="219">
        <f>(1+alloc1*Simulator!E53+alloc2*Simulator!F53+alloc3*Simulator!H53+alloc4*Simulator!J53+alloc5*Simulator!M53)</f>
        <v>1.0734864834556939</v>
      </c>
      <c r="AM53" s="215">
        <f>IF(SUM($AM$13:AM52)&lt;&gt;0,0,IF(O53&lt;0,B53-O52,0))</f>
        <v>0</v>
      </c>
      <c r="AN53" s="12">
        <f t="shared" si="16"/>
        <v>0</v>
      </c>
      <c r="AO53" s="12"/>
      <c r="AP53" s="12"/>
      <c r="AQ53" s="211"/>
      <c r="AR53" s="145" t="e">
        <f t="shared" si="26"/>
        <v>#N/A</v>
      </c>
      <c r="AS53" s="146" t="e">
        <f t="shared" si="37"/>
        <v>#N/A</v>
      </c>
      <c r="AT53" s="220" t="e">
        <f>IF(AQ53&lt;&gt;0,IF((AT52-B53)*(1+alloc1*Simulator!E53+alloc2*Simulator!F53+alloc3*Simulator!H53+alloc4*Simulator!J53+alloc5*Simulator!M53)&lt;0,NA(),(AT52-B53)*(1+alloc1*Simulator!E53+alloc2*Simulator!F53+alloc3*Simulator!H53+alloc4*Simulator!J53+alloc5*Simulator!M53)),NA())</f>
        <v>#N/A</v>
      </c>
      <c r="AU53" s="219" t="e">
        <f t="shared" si="38"/>
        <v>#N/A</v>
      </c>
      <c r="AV53" s="83">
        <f t="shared" si="18"/>
        <v>35.154538499068735</v>
      </c>
      <c r="AW53" s="85" t="e">
        <f t="shared" si="13"/>
        <v>#DIV/0!</v>
      </c>
      <c r="AX53" s="1">
        <f t="shared" si="19"/>
        <v>29.821531429186621</v>
      </c>
      <c r="AY53" s="85" t="e">
        <f t="shared" si="20"/>
        <v>#DIV/0!</v>
      </c>
      <c r="AZ53" s="1">
        <f t="shared" si="21"/>
        <v>147.38067914676381</v>
      </c>
      <c r="BA53" s="85" t="e">
        <f t="shared" si="22"/>
        <v>#DIV/0!</v>
      </c>
      <c r="BB53" s="1">
        <f t="shared" si="23"/>
        <v>3053.5408317656811</v>
      </c>
      <c r="BC53" s="85" t="e">
        <f t="shared" si="24"/>
        <v>#DIV/0!</v>
      </c>
    </row>
    <row r="54" spans="1:55" hidden="1" x14ac:dyDescent="0.25">
      <c r="A54" s="104">
        <f t="shared" si="0"/>
        <v>42</v>
      </c>
      <c r="B54" s="142">
        <f t="shared" si="27"/>
        <v>281.54979859852659</v>
      </c>
      <c r="C54" s="27"/>
      <c r="D54" s="105">
        <f t="shared" si="28"/>
        <v>0.08</v>
      </c>
      <c r="E54" s="67">
        <v>0.08</v>
      </c>
      <c r="F54" s="67">
        <v>0.11275054381078051</v>
      </c>
      <c r="G54" s="67">
        <f t="shared" ca="1" si="29"/>
        <v>0.11275054381078051</v>
      </c>
      <c r="H54" s="67">
        <v>3.407684452104523E-2</v>
      </c>
      <c r="I54" s="67">
        <f t="shared" ca="1" si="30"/>
        <v>3.407684452104523E-2</v>
      </c>
      <c r="J54" s="67">
        <v>0.22605127613267853</v>
      </c>
      <c r="K54" s="67">
        <f t="shared" ca="1" si="31"/>
        <v>0.22605127613267853</v>
      </c>
      <c r="L54" s="105">
        <f t="shared" ca="1" si="32"/>
        <v>0.40563487023312672</v>
      </c>
      <c r="M54" s="67">
        <v>0.40563487023312672</v>
      </c>
      <c r="N54" s="27"/>
      <c r="O54" s="26">
        <f t="shared" si="14"/>
        <v>-10865</v>
      </c>
      <c r="P54" s="26">
        <f t="shared" si="33"/>
        <v>582</v>
      </c>
      <c r="Q54" s="26">
        <f t="shared" si="34"/>
        <v>892</v>
      </c>
      <c r="R54" s="26">
        <f t="shared" si="35"/>
        <v>2880</v>
      </c>
      <c r="S54" s="36">
        <f t="shared" si="36"/>
        <v>65373</v>
      </c>
      <c r="T54" s="73"/>
      <c r="U54" s="78"/>
      <c r="V54" s="78"/>
      <c r="W54" s="26"/>
      <c r="X54" s="26"/>
      <c r="Y54" s="26"/>
      <c r="Z54" s="26"/>
      <c r="AA54" s="26"/>
      <c r="AB54" s="26"/>
      <c r="AC54" s="73"/>
      <c r="AD54" s="104">
        <f t="shared" si="10"/>
        <v>42</v>
      </c>
      <c r="AE54" s="11"/>
      <c r="AF54" s="12"/>
      <c r="AG54" s="12"/>
      <c r="AH54" s="12"/>
      <c r="AL54" s="219">
        <f>(1+alloc1*Simulator!E54+alloc2*Simulator!F54+alloc3*Simulator!H54+alloc4*Simulator!J54+alloc5*Simulator!M54)</f>
        <v>1.1212590379218677</v>
      </c>
      <c r="AM54" s="215">
        <f>IF(SUM($AM$13:AM53)&lt;&gt;0,0,IF(O54&lt;0,B54-O53,0))</f>
        <v>0</v>
      </c>
      <c r="AN54" s="12">
        <f t="shared" si="16"/>
        <v>0</v>
      </c>
      <c r="AO54" s="12"/>
      <c r="AP54" s="12"/>
      <c r="AQ54" s="147"/>
      <c r="AR54" s="145" t="e">
        <f t="shared" si="26"/>
        <v>#N/A</v>
      </c>
      <c r="AS54" s="146" t="e">
        <f t="shared" si="37"/>
        <v>#N/A</v>
      </c>
      <c r="AT54" s="220" t="e">
        <f>IF(AQ54&lt;&gt;0,IF((AT53-B54)*(1+alloc1*Simulator!E54+alloc2*Simulator!F54+alloc3*Simulator!H54+alloc4*Simulator!J54+alloc5*Simulator!M54)&lt;0,NA(),(AT53-B54)*(1+alloc1*Simulator!E54+alloc2*Simulator!F54+alloc3*Simulator!H54+alloc4*Simulator!J54+alloc5*Simulator!M54)),NA())</f>
        <v>#N/A</v>
      </c>
      <c r="AU54" s="219" t="e">
        <f t="shared" si="38"/>
        <v>#N/A</v>
      </c>
      <c r="AV54" s="83">
        <f t="shared" si="18"/>
        <v>39.118231832255759</v>
      </c>
      <c r="AW54" s="85" t="e">
        <f t="shared" si="13"/>
        <v>#DIV/0!</v>
      </c>
      <c r="AX54" s="1">
        <f t="shared" si="19"/>
        <v>30.83775511907848</v>
      </c>
      <c r="AY54" s="85" t="e">
        <f t="shared" si="20"/>
        <v>#DIV/0!</v>
      </c>
      <c r="AZ54" s="1">
        <f t="shared" si="21"/>
        <v>180.69626974519062</v>
      </c>
      <c r="BA54" s="85" t="e">
        <f t="shared" si="22"/>
        <v>#DIV/0!</v>
      </c>
      <c r="BB54" s="1">
        <f t="shared" si="23"/>
        <v>4292.1634708105066</v>
      </c>
      <c r="BC54" s="85" t="e">
        <f t="shared" si="24"/>
        <v>#DIV/0!</v>
      </c>
    </row>
    <row r="55" spans="1:55" hidden="1" x14ac:dyDescent="0.25">
      <c r="A55" s="104">
        <f t="shared" si="0"/>
        <v>43</v>
      </c>
      <c r="B55" s="142">
        <f t="shared" si="27"/>
        <v>304.07378248640867</v>
      </c>
      <c r="C55" s="27"/>
      <c r="D55" s="105">
        <f t="shared" si="28"/>
        <v>0.08</v>
      </c>
      <c r="E55" s="67">
        <v>0.08</v>
      </c>
      <c r="F55" s="67">
        <v>6.0807869666865424E-2</v>
      </c>
      <c r="G55" s="67">
        <f t="shared" ca="1" si="29"/>
        <v>6.0807869666865424E-2</v>
      </c>
      <c r="H55" s="67">
        <v>4.5820474302475579E-2</v>
      </c>
      <c r="I55" s="67">
        <f t="shared" ca="1" si="30"/>
        <v>4.5820474302475579E-2</v>
      </c>
      <c r="J55" s="67">
        <v>3.6749871523483468E-2</v>
      </c>
      <c r="K55" s="67">
        <f t="shared" ca="1" si="31"/>
        <v>3.6749871523483468E-2</v>
      </c>
      <c r="L55" s="105">
        <f t="shared" ca="1" si="32"/>
        <v>0.25011874702068537</v>
      </c>
      <c r="M55" s="67">
        <v>0.25011874702068537</v>
      </c>
      <c r="N55" s="27"/>
      <c r="O55" s="26">
        <f t="shared" si="14"/>
        <v>-12063</v>
      </c>
      <c r="P55" s="26">
        <f t="shared" si="33"/>
        <v>617</v>
      </c>
      <c r="Q55" s="26">
        <f t="shared" si="34"/>
        <v>933</v>
      </c>
      <c r="R55" s="26">
        <f t="shared" si="35"/>
        <v>2986</v>
      </c>
      <c r="S55" s="36">
        <f t="shared" si="36"/>
        <v>81724</v>
      </c>
      <c r="T55" s="73"/>
      <c r="U55" s="78"/>
      <c r="V55" s="78"/>
      <c r="W55" s="26"/>
      <c r="X55" s="26"/>
      <c r="Y55" s="26"/>
      <c r="Z55" s="26"/>
      <c r="AA55" s="26"/>
      <c r="AB55" s="26"/>
      <c r="AC55" s="73"/>
      <c r="AD55" s="104">
        <f t="shared" si="10"/>
        <v>43</v>
      </c>
      <c r="AE55" s="11"/>
      <c r="AF55" s="12"/>
      <c r="AG55" s="12"/>
      <c r="AH55" s="12"/>
      <c r="AL55" s="219">
        <f>(1+alloc1*Simulator!E55+alloc2*Simulator!F55+alloc3*Simulator!H55+alloc4*Simulator!J55+alloc5*Simulator!M55)</f>
        <v>1.0839317436815985</v>
      </c>
      <c r="AM55" s="215">
        <f>IF(SUM($AM$13:AM54)&lt;&gt;0,0,IF(O55&lt;0,B55-O54,0))</f>
        <v>0</v>
      </c>
      <c r="AN55" s="12">
        <f t="shared" si="16"/>
        <v>0</v>
      </c>
      <c r="AO55" s="12"/>
      <c r="AP55" s="12"/>
      <c r="AQ55" s="147"/>
      <c r="AR55" s="145" t="e">
        <f t="shared" si="26"/>
        <v>#N/A</v>
      </c>
      <c r="AS55" s="146" t="e">
        <f t="shared" si="37"/>
        <v>#N/A</v>
      </c>
      <c r="AT55" s="220" t="e">
        <f>IF(AQ55&lt;&gt;0,IF((AT54-B55)*(1+alloc1*Simulator!E55+alloc2*Simulator!F55+alloc3*Simulator!H55+alloc4*Simulator!J55+alloc5*Simulator!M55)&lt;0,NA(),(AT54-B55)*(1+alloc1*Simulator!E55+alloc2*Simulator!F55+alloc3*Simulator!H55+alloc4*Simulator!J55+alloc5*Simulator!M55)),NA())</f>
        <v>#N/A</v>
      </c>
      <c r="AU55" s="219" t="e">
        <f t="shared" si="38"/>
        <v>#N/A</v>
      </c>
      <c r="AV55" s="83">
        <f t="shared" si="18"/>
        <v>41.496928175109794</v>
      </c>
      <c r="AW55" s="85" t="e">
        <f t="shared" si="13"/>
        <v>#DIV/0!</v>
      </c>
      <c r="AX55" s="1">
        <f t="shared" si="19"/>
        <v>32.250755685058245</v>
      </c>
      <c r="AY55" s="85" t="e">
        <f t="shared" si="20"/>
        <v>#DIV/0!</v>
      </c>
      <c r="AZ55" s="1">
        <f t="shared" si="21"/>
        <v>187.33683444309909</v>
      </c>
      <c r="BA55" s="85" t="e">
        <f t="shared" si="22"/>
        <v>#DIV/0!</v>
      </c>
      <c r="BB55" s="1">
        <f t="shared" si="23"/>
        <v>5365.7140201375869</v>
      </c>
      <c r="BC55" s="85" t="e">
        <f t="shared" si="24"/>
        <v>#DIV/0!</v>
      </c>
    </row>
    <row r="56" spans="1:55" hidden="1" x14ac:dyDescent="0.25">
      <c r="A56" s="104">
        <f t="shared" si="0"/>
        <v>44</v>
      </c>
      <c r="B56" s="142">
        <f t="shared" si="27"/>
        <v>328.39968508532138</v>
      </c>
      <c r="C56" s="27"/>
      <c r="D56" s="105">
        <f t="shared" si="28"/>
        <v>0.08</v>
      </c>
      <c r="E56" s="67">
        <v>0.08</v>
      </c>
      <c r="F56" s="67">
        <v>8.1714703297359678E-2</v>
      </c>
      <c r="G56" s="67">
        <f t="shared" ca="1" si="29"/>
        <v>8.1714703297359678E-2</v>
      </c>
      <c r="H56" s="67">
        <v>6.6489552311221473E-2</v>
      </c>
      <c r="I56" s="67">
        <f t="shared" ca="1" si="30"/>
        <v>6.6489552311221473E-2</v>
      </c>
      <c r="J56" s="67">
        <v>3.2692971613250812E-2</v>
      </c>
      <c r="K56" s="67">
        <f t="shared" ca="1" si="31"/>
        <v>3.2692971613250812E-2</v>
      </c>
      <c r="L56" s="105">
        <f t="shared" ca="1" si="32"/>
        <v>0.36284217945795044</v>
      </c>
      <c r="M56" s="67">
        <v>0.36284217945795044</v>
      </c>
      <c r="N56" s="27"/>
      <c r="O56" s="26">
        <f t="shared" si="14"/>
        <v>-13383</v>
      </c>
      <c r="P56" s="26">
        <f t="shared" si="33"/>
        <v>667</v>
      </c>
      <c r="Q56" s="26">
        <f t="shared" si="34"/>
        <v>995</v>
      </c>
      <c r="R56" s="26">
        <f t="shared" si="35"/>
        <v>3084</v>
      </c>
      <c r="S56" s="36">
        <f t="shared" si="36"/>
        <v>111377</v>
      </c>
      <c r="T56" s="73"/>
      <c r="U56" s="78"/>
      <c r="V56" s="78"/>
      <c r="W56" s="26"/>
      <c r="X56" s="26"/>
      <c r="Y56" s="26"/>
      <c r="Z56" s="26"/>
      <c r="AA56" s="26"/>
      <c r="AB56" s="26"/>
      <c r="AC56" s="73"/>
      <c r="AD56" s="104">
        <f t="shared" si="10"/>
        <v>44</v>
      </c>
      <c r="AE56" s="11"/>
      <c r="AF56" s="12"/>
      <c r="AG56" s="12"/>
      <c r="AH56" s="12"/>
      <c r="AL56" s="219">
        <f>(1+alloc1*Simulator!E56+alloc2*Simulator!F56+alloc3*Simulator!H56+alloc4*Simulator!J56+alloc5*Simulator!M56)</f>
        <v>1.1010228958991004</v>
      </c>
      <c r="AM56" s="215">
        <f>IF(SUM($AM$13:AM55)&lt;&gt;0,0,IF(O56&lt;0,B56-O55,0))</f>
        <v>0</v>
      </c>
      <c r="AN56" s="12">
        <f t="shared" si="16"/>
        <v>0</v>
      </c>
      <c r="AO56" s="12"/>
      <c r="AP56" s="12"/>
      <c r="AQ56" s="147"/>
      <c r="AR56" s="145" t="e">
        <f t="shared" si="26"/>
        <v>#N/A</v>
      </c>
      <c r="AS56" s="146" t="e">
        <f t="shared" si="37"/>
        <v>#N/A</v>
      </c>
      <c r="AT56" s="220" t="e">
        <f>IF(AQ56&lt;&gt;0,IF((AT55-B56)*(1+alloc1*Simulator!E56+alloc2*Simulator!F56+alloc3*Simulator!H56+alloc4*Simulator!J56+alloc5*Simulator!M56)&lt;0,NA(),(AT55-B56)*(1+alloc1*Simulator!E56+alloc2*Simulator!F56+alloc3*Simulator!H56+alloc4*Simulator!J56+alloc5*Simulator!M56)),NA())</f>
        <v>#N/A</v>
      </c>
      <c r="AU56" s="219" t="e">
        <f t="shared" si="38"/>
        <v>#N/A</v>
      </c>
      <c r="AV56" s="83">
        <f t="shared" si="18"/>
        <v>44.887837348690738</v>
      </c>
      <c r="AW56" s="85" t="e">
        <f t="shared" si="13"/>
        <v>#DIV/0!</v>
      </c>
      <c r="AX56" s="1">
        <f t="shared" si="19"/>
        <v>34.395093992256349</v>
      </c>
      <c r="AY56" s="85" t="e">
        <f t="shared" si="20"/>
        <v>#DIV/0!</v>
      </c>
      <c r="AZ56" s="1">
        <f t="shared" si="21"/>
        <v>193.46143225366362</v>
      </c>
      <c r="BA56" s="85" t="e">
        <f t="shared" si="22"/>
        <v>#DIV/0!</v>
      </c>
      <c r="BB56" s="1">
        <f t="shared" si="23"/>
        <v>7312.6213895523897</v>
      </c>
      <c r="BC56" s="85" t="e">
        <f t="shared" si="24"/>
        <v>#DIV/0!</v>
      </c>
    </row>
    <row r="57" spans="1:55" hidden="1" x14ac:dyDescent="0.25">
      <c r="A57" s="104">
        <f t="shared" si="0"/>
        <v>45</v>
      </c>
      <c r="B57" s="142">
        <f t="shared" si="27"/>
        <v>354.67165989214709</v>
      </c>
      <c r="C57" s="27"/>
      <c r="D57" s="105">
        <f t="shared" si="28"/>
        <v>0.08</v>
      </c>
      <c r="E57" s="67">
        <v>0.08</v>
      </c>
      <c r="F57" s="67">
        <v>0.12129602600288122</v>
      </c>
      <c r="G57" s="67">
        <f t="shared" ca="1" si="29"/>
        <v>0.12129602600288122</v>
      </c>
      <c r="H57" s="67">
        <v>0.18729779313501954</v>
      </c>
      <c r="I57" s="67">
        <f t="shared" ca="1" si="30"/>
        <v>0.18729779313501954</v>
      </c>
      <c r="J57" s="67">
        <v>-0.1870869630267008</v>
      </c>
      <c r="K57" s="67">
        <f t="shared" ca="1" si="31"/>
        <v>-0.1870869630267008</v>
      </c>
      <c r="L57" s="105">
        <f t="shared" ca="1" si="32"/>
        <v>0.32197646703896954</v>
      </c>
      <c r="M57" s="67">
        <v>0.32197646703896954</v>
      </c>
      <c r="N57" s="27"/>
      <c r="O57" s="26">
        <f t="shared" si="14"/>
        <v>-14837</v>
      </c>
      <c r="P57" s="26">
        <f t="shared" si="33"/>
        <v>748</v>
      </c>
      <c r="Q57" s="26">
        <f t="shared" si="34"/>
        <v>1181</v>
      </c>
      <c r="R57" s="26">
        <f t="shared" si="35"/>
        <v>2507</v>
      </c>
      <c r="S57" s="36">
        <f t="shared" si="36"/>
        <v>147238</v>
      </c>
      <c r="T57" s="73"/>
      <c r="U57" s="78"/>
      <c r="V57" s="78"/>
      <c r="W57" s="26"/>
      <c r="X57" s="26"/>
      <c r="Y57" s="26"/>
      <c r="Z57" s="26"/>
      <c r="AA57" s="26"/>
      <c r="AB57" s="26"/>
      <c r="AC57" s="73"/>
      <c r="AD57" s="104">
        <f t="shared" si="10"/>
        <v>45</v>
      </c>
      <c r="AE57" s="11"/>
      <c r="AF57" s="12"/>
      <c r="AG57" s="12"/>
      <c r="AH57" s="12"/>
      <c r="AL57" s="219">
        <f>(1+alloc1*Simulator!E57+alloc2*Simulator!F57+alloc3*Simulator!H57+alloc4*Simulator!J57+alloc5*Simulator!M57)</f>
        <v>1.1030781116285189</v>
      </c>
      <c r="AM57" s="215">
        <f>IF(SUM($AM$13:AM56)&lt;&gt;0,0,IF(O57&lt;0,B57-O56,0))</f>
        <v>0</v>
      </c>
      <c r="AN57" s="12">
        <f t="shared" si="16"/>
        <v>0</v>
      </c>
      <c r="AO57" s="12"/>
      <c r="AP57" s="12"/>
      <c r="AQ57" s="147"/>
      <c r="AR57" s="145" t="e">
        <f t="shared" si="26"/>
        <v>#N/A</v>
      </c>
      <c r="AS57" s="146" t="e">
        <f t="shared" si="37"/>
        <v>#N/A</v>
      </c>
      <c r="AT57" s="220" t="e">
        <f>IF(AQ57&lt;&gt;0,IF((AT56-B57)*(1+alloc1*Simulator!E57+alloc2*Simulator!F57+alloc3*Simulator!H57+alloc4*Simulator!J57+alloc5*Simulator!M57)&lt;0,NA(),(AT56-B57)*(1+alloc1*Simulator!E57+alloc2*Simulator!F57+alloc3*Simulator!H57+alloc4*Simulator!J57+alloc5*Simulator!M57)),NA())</f>
        <v>#N/A</v>
      </c>
      <c r="AU57" s="219" t="e">
        <f t="shared" si="38"/>
        <v>#N/A</v>
      </c>
      <c r="AV57" s="83">
        <f t="shared" si="18"/>
        <v>50.332553634950635</v>
      </c>
      <c r="AW57" s="85" t="e">
        <f t="shared" si="13"/>
        <v>#DIV/0!</v>
      </c>
      <c r="AX57" s="1">
        <f t="shared" si="19"/>
        <v>40.837219191677534</v>
      </c>
      <c r="AY57" s="85" t="e">
        <f t="shared" si="20"/>
        <v>#DIV/0!</v>
      </c>
      <c r="AZ57" s="1">
        <f t="shared" si="21"/>
        <v>157.26732043052988</v>
      </c>
      <c r="BA57" s="85" t="e">
        <f t="shared" si="22"/>
        <v>#DIV/0!</v>
      </c>
      <c r="BB57" s="1">
        <f t="shared" si="23"/>
        <v>9667.1133893540682</v>
      </c>
      <c r="BC57" s="85" t="e">
        <f t="shared" si="24"/>
        <v>#DIV/0!</v>
      </c>
    </row>
    <row r="58" spans="1:55" hidden="1" x14ac:dyDescent="0.25">
      <c r="A58" s="104">
        <f t="shared" si="0"/>
        <v>46</v>
      </c>
      <c r="B58" s="142">
        <f t="shared" si="27"/>
        <v>383.04539268351891</v>
      </c>
      <c r="C58" s="27"/>
      <c r="D58" s="105">
        <f t="shared" si="28"/>
        <v>0.08</v>
      </c>
      <c r="E58" s="67">
        <v>0.08</v>
      </c>
      <c r="F58" s="67">
        <v>4.7861754997823094E-2</v>
      </c>
      <c r="G58" s="67">
        <f t="shared" ca="1" si="29"/>
        <v>4.7861754997823094E-2</v>
      </c>
      <c r="H58" s="67">
        <v>0.25155012136208255</v>
      </c>
      <c r="I58" s="67">
        <f t="shared" ca="1" si="30"/>
        <v>0.25155012136208255</v>
      </c>
      <c r="J58" s="67">
        <v>0.41468316984279158</v>
      </c>
      <c r="K58" s="67">
        <f t="shared" ca="1" si="31"/>
        <v>0.41468316984279158</v>
      </c>
      <c r="L58" s="105">
        <f t="shared" ca="1" si="32"/>
        <v>0.11463097825192786</v>
      </c>
      <c r="M58" s="67">
        <v>0.11463097825192786</v>
      </c>
      <c r="N58" s="27"/>
      <c r="O58" s="26">
        <f t="shared" si="14"/>
        <v>-16438</v>
      </c>
      <c r="P58" s="26">
        <f t="shared" si="33"/>
        <v>784</v>
      </c>
      <c r="Q58" s="26">
        <f t="shared" si="34"/>
        <v>1478</v>
      </c>
      <c r="R58" s="26">
        <f t="shared" si="35"/>
        <v>3547</v>
      </c>
      <c r="S58" s="36">
        <f t="shared" si="36"/>
        <v>164116</v>
      </c>
      <c r="T58" s="73"/>
      <c r="U58" s="78"/>
      <c r="V58" s="78"/>
      <c r="W58" s="26"/>
      <c r="X58" s="26"/>
      <c r="Y58" s="26"/>
      <c r="Z58" s="26"/>
      <c r="AA58" s="26"/>
      <c r="AB58" s="26"/>
      <c r="AC58" s="73"/>
      <c r="AD58" s="104">
        <f t="shared" si="10"/>
        <v>46</v>
      </c>
      <c r="AE58" s="11"/>
      <c r="AF58" s="12"/>
      <c r="AG58" s="12"/>
      <c r="AH58" s="12"/>
      <c r="AL58" s="219">
        <f>(1+alloc1*Simulator!E58+alloc2*Simulator!F58+alloc3*Simulator!H58+alloc4*Simulator!J58+alloc5*Simulator!M58)</f>
        <v>1.1480276145816708</v>
      </c>
      <c r="AM58" s="215">
        <f>IF(SUM($AM$13:AM57)&lt;&gt;0,0,IF(O58&lt;0,B58-O57,0))</f>
        <v>0</v>
      </c>
      <c r="AN58" s="12">
        <f t="shared" si="16"/>
        <v>0</v>
      </c>
      <c r="AO58" s="12"/>
      <c r="AP58" s="12"/>
      <c r="AQ58" s="147"/>
      <c r="AR58" s="145" t="e">
        <f t="shared" si="26"/>
        <v>#N/A</v>
      </c>
      <c r="AS58" s="146" t="e">
        <f t="shared" si="37"/>
        <v>#N/A</v>
      </c>
      <c r="AT58" s="220" t="e">
        <f>IF(AQ58&lt;&gt;0,IF((AT57-B58)*(1+alloc1*Simulator!E58+alloc2*Simulator!F58+alloc3*Simulator!H58+alloc4*Simulator!J58+alloc5*Simulator!M58)&lt;0,NA(),(AT57-B58)*(1+alloc1*Simulator!E58+alloc2*Simulator!F58+alloc3*Simulator!H58+alloc4*Simulator!J58+alloc5*Simulator!M58)),NA())</f>
        <v>#N/A</v>
      </c>
      <c r="AU58" s="219" t="e">
        <f t="shared" si="38"/>
        <v>#N/A</v>
      </c>
      <c r="AV58" s="83">
        <f t="shared" si="18"/>
        <v>52.741557985441432</v>
      </c>
      <c r="AW58" s="85" t="e">
        <f t="shared" si="13"/>
        <v>#DIV/0!</v>
      </c>
      <c r="AX58" s="1">
        <f t="shared" si="19"/>
        <v>51.109826635433983</v>
      </c>
      <c r="AY58" s="85" t="e">
        <f t="shared" si="20"/>
        <v>#DIV/0!</v>
      </c>
      <c r="AZ58" s="1">
        <f t="shared" si="21"/>
        <v>222.48343137934401</v>
      </c>
      <c r="BA58" s="85" t="e">
        <f t="shared" si="22"/>
        <v>#DIV/0!</v>
      </c>
      <c r="BB58" s="1">
        <f t="shared" si="23"/>
        <v>10775.264054048035</v>
      </c>
      <c r="BC58" s="85" t="e">
        <f t="shared" si="24"/>
        <v>#DIV/0!</v>
      </c>
    </row>
    <row r="59" spans="1:55" hidden="1" x14ac:dyDescent="0.25">
      <c r="A59" s="37">
        <f t="shared" si="0"/>
        <v>47</v>
      </c>
      <c r="B59" s="142">
        <f t="shared" si="27"/>
        <v>413.68902409820043</v>
      </c>
      <c r="C59" s="27"/>
      <c r="D59" s="65">
        <f t="shared" si="28"/>
        <v>0.08</v>
      </c>
      <c r="E59" s="67">
        <v>0.08</v>
      </c>
      <c r="F59" s="67">
        <v>7.6689046464341673E-2</v>
      </c>
      <c r="G59" s="66">
        <f t="shared" ca="1" si="29"/>
        <v>7.6689046464341673E-2</v>
      </c>
      <c r="H59" s="67">
        <v>0.15283154145452668</v>
      </c>
      <c r="I59" s="66">
        <f t="shared" ca="1" si="30"/>
        <v>0.15283154145452668</v>
      </c>
      <c r="J59" s="67">
        <v>0.17532001308441789</v>
      </c>
      <c r="K59" s="66">
        <f t="shared" ca="1" si="31"/>
        <v>0.17532001308441789</v>
      </c>
      <c r="L59" s="65">
        <f t="shared" ca="1" si="32"/>
        <v>0.32990989204479559</v>
      </c>
      <c r="M59" s="67">
        <v>0.32990989204479559</v>
      </c>
      <c r="N59" s="27"/>
      <c r="O59" s="26">
        <f t="shared" si="14"/>
        <v>-18200</v>
      </c>
      <c r="P59" s="26">
        <f t="shared" si="33"/>
        <v>844</v>
      </c>
      <c r="Q59" s="26">
        <f t="shared" si="34"/>
        <v>1704</v>
      </c>
      <c r="R59" s="26">
        <f t="shared" si="35"/>
        <v>4169</v>
      </c>
      <c r="S59" s="36">
        <f t="shared" si="36"/>
        <v>218259</v>
      </c>
      <c r="T59" s="73"/>
      <c r="U59" s="78"/>
      <c r="V59" s="78"/>
      <c r="W59" s="26"/>
      <c r="X59" s="26"/>
      <c r="Y59" s="26"/>
      <c r="Z59" s="26"/>
      <c r="AA59" s="26"/>
      <c r="AB59" s="26"/>
      <c r="AC59" s="73"/>
      <c r="AD59" s="37">
        <f t="shared" si="10"/>
        <v>47</v>
      </c>
      <c r="AE59" s="11"/>
      <c r="AF59" s="12"/>
      <c r="AG59" s="12"/>
      <c r="AH59" s="12"/>
      <c r="AL59" s="219">
        <f>(1+alloc1*Simulator!E59+alloc2*Simulator!F59+alloc3*Simulator!H59+alloc4*Simulator!J59+alloc5*Simulator!M59)</f>
        <v>1.1287582034502608</v>
      </c>
      <c r="AM59" s="215">
        <f>IF(SUM($AM$13:AM58)&lt;&gt;0,0,IF(O59&lt;0,B59-O58,0))</f>
        <v>0</v>
      </c>
      <c r="AN59" s="12">
        <f t="shared" si="16"/>
        <v>0</v>
      </c>
      <c r="AO59" s="12"/>
      <c r="AP59" s="12"/>
      <c r="AQ59" s="147"/>
      <c r="AR59" s="145" t="e">
        <f t="shared" si="26"/>
        <v>#N/A</v>
      </c>
      <c r="AS59" s="146" t="e">
        <f t="shared" si="37"/>
        <v>#N/A</v>
      </c>
      <c r="AT59" s="220" t="e">
        <f>IF(AQ59&lt;&gt;0,IF((AT58-B59)*(1+alloc1*Simulator!E59+alloc2*Simulator!F59+alloc3*Simulator!H59+alloc4*Simulator!J59+alloc5*Simulator!M59)&lt;0,NA(),(AT58-B59)*(1+alloc1*Simulator!E59+alloc2*Simulator!F59+alloc3*Simulator!H59+alloc4*Simulator!J59+alloc5*Simulator!M59)),NA())</f>
        <v>#N/A</v>
      </c>
      <c r="AU59" s="219" t="e">
        <f t="shared" si="38"/>
        <v>#N/A</v>
      </c>
      <c r="AV59" s="83">
        <f t="shared" si="18"/>
        <v>56.786257776388723</v>
      </c>
      <c r="AW59" s="85" t="e">
        <f t="shared" si="13"/>
        <v>#DIV/0!</v>
      </c>
      <c r="AX59" s="1">
        <f t="shared" si="19"/>
        <v>58.921020223600983</v>
      </c>
      <c r="AY59" s="85" t="e">
        <f t="shared" si="20"/>
        <v>#DIV/0!</v>
      </c>
      <c r="AZ59" s="1">
        <f t="shared" si="21"/>
        <v>261.48922947983681</v>
      </c>
      <c r="BA59" s="85" t="e">
        <f t="shared" si="22"/>
        <v>#DIV/0!</v>
      </c>
      <c r="BB59" s="1">
        <f t="shared" si="23"/>
        <v>14330.130254873189</v>
      </c>
      <c r="BC59" s="85" t="e">
        <f t="shared" si="24"/>
        <v>#DIV/0!</v>
      </c>
    </row>
    <row r="60" spans="1:55" hidden="1" x14ac:dyDescent="0.25">
      <c r="A60" s="37">
        <f t="shared" si="0"/>
        <v>48</v>
      </c>
      <c r="B60" s="142">
        <f t="shared" si="27"/>
        <v>446.78414602605653</v>
      </c>
      <c r="C60" s="27"/>
      <c r="D60" s="65">
        <f t="shared" si="28"/>
        <v>0.08</v>
      </c>
      <c r="E60" s="67">
        <v>0.08</v>
      </c>
      <c r="F60" s="67">
        <v>0.11226614134286061</v>
      </c>
      <c r="G60" s="66">
        <f t="shared" ca="1" si="29"/>
        <v>0.11226614134286061</v>
      </c>
      <c r="H60" s="67">
        <v>2.9745141214685286E-2</v>
      </c>
      <c r="I60" s="66">
        <f t="shared" ca="1" si="30"/>
        <v>2.9745141214685286E-2</v>
      </c>
      <c r="J60" s="67">
        <v>-8.5921350778449618E-2</v>
      </c>
      <c r="K60" s="66">
        <f t="shared" ca="1" si="31"/>
        <v>-8.5921350778449618E-2</v>
      </c>
      <c r="L60" s="65">
        <f t="shared" ca="1" si="32"/>
        <v>0.14974531834643054</v>
      </c>
      <c r="M60" s="67">
        <v>0.14974531834643054</v>
      </c>
      <c r="N60" s="27"/>
      <c r="O60" s="26">
        <f t="shared" si="14"/>
        <v>-20139</v>
      </c>
      <c r="P60" s="26">
        <f t="shared" si="33"/>
        <v>939</v>
      </c>
      <c r="Q60" s="26">
        <f t="shared" si="34"/>
        <v>1755</v>
      </c>
      <c r="R60" s="26">
        <f t="shared" si="35"/>
        <v>3811</v>
      </c>
      <c r="S60" s="36">
        <f t="shared" si="36"/>
        <v>250942</v>
      </c>
      <c r="T60" s="73"/>
      <c r="U60" s="78"/>
      <c r="V60" s="78"/>
      <c r="W60" s="26"/>
      <c r="X60" s="26"/>
      <c r="Y60" s="26"/>
      <c r="Z60" s="26"/>
      <c r="AA60" s="26"/>
      <c r="AB60" s="26"/>
      <c r="AC60" s="73"/>
      <c r="AD60" s="37">
        <f t="shared" si="10"/>
        <v>48</v>
      </c>
      <c r="AE60" s="11"/>
      <c r="AF60" s="12"/>
      <c r="AG60" s="12"/>
      <c r="AH60" s="12"/>
      <c r="AL60" s="219">
        <f>(1+alloc1*Simulator!E60+alloc2*Simulator!F60+alloc3*Simulator!H60+alloc4*Simulator!J60+alloc5*Simulator!M60)</f>
        <v>1.0635580391340211</v>
      </c>
      <c r="AM60" s="215">
        <f>IF(SUM($AM$13:AM59)&lt;&gt;0,0,IF(O60&lt;0,B60-O59,0))</f>
        <v>0</v>
      </c>
      <c r="AN60" s="12">
        <f t="shared" si="16"/>
        <v>0</v>
      </c>
      <c r="AO60" s="12"/>
      <c r="AP60" s="12"/>
      <c r="AQ60" s="147"/>
      <c r="AR60" s="145" t="e">
        <f t="shared" si="26"/>
        <v>#N/A</v>
      </c>
      <c r="AS60" s="146" t="e">
        <f t="shared" si="37"/>
        <v>#N/A</v>
      </c>
      <c r="AT60" s="220" t="e">
        <f>IF(AQ60&lt;&gt;0,IF((AT59-B60)*(1+alloc1*Simulator!E60+alloc2*Simulator!F60+alloc3*Simulator!H60+alloc4*Simulator!J60+alloc5*Simulator!M60)&lt;0,NA(),(AT59-B60)*(1+alloc1*Simulator!E60+alloc2*Simulator!F60+alloc3*Simulator!H60+alloc4*Simulator!J60+alloc5*Simulator!M60)),NA())</f>
        <v>#N/A</v>
      </c>
      <c r="AU60" s="219" t="e">
        <f t="shared" si="38"/>
        <v>#N/A</v>
      </c>
      <c r="AV60" s="83">
        <f t="shared" si="18"/>
        <v>63.161431818244893</v>
      </c>
      <c r="AW60" s="85" t="e">
        <f t="shared" si="13"/>
        <v>#DIV/0!</v>
      </c>
      <c r="AX60" s="1">
        <f t="shared" si="19"/>
        <v>60.673634290665319</v>
      </c>
      <c r="AY60" s="85" t="e">
        <f t="shared" si="20"/>
        <v>#DIV/0!</v>
      </c>
      <c r="AZ60" s="1">
        <f t="shared" si="21"/>
        <v>239.02172166891324</v>
      </c>
      <c r="BA60" s="85" t="e">
        <f t="shared" si="22"/>
        <v>#DIV/0!</v>
      </c>
      <c r="BB60" s="1">
        <f t="shared" si="23"/>
        <v>16476.000171834992</v>
      </c>
      <c r="BC60" s="85" t="e">
        <f t="shared" si="24"/>
        <v>#DIV/0!</v>
      </c>
    </row>
    <row r="61" spans="1:55" hidden="1" x14ac:dyDescent="0.25">
      <c r="A61" s="37">
        <f t="shared" si="0"/>
        <v>49</v>
      </c>
      <c r="B61" s="142">
        <f t="shared" si="27"/>
        <v>482.526877708141</v>
      </c>
      <c r="C61" s="27"/>
      <c r="D61" s="65">
        <f t="shared" si="28"/>
        <v>0.08</v>
      </c>
      <c r="E61" s="67">
        <v>0.08</v>
      </c>
      <c r="F61" s="67">
        <v>0.1410611611759704</v>
      </c>
      <c r="G61" s="66">
        <f t="shared" ca="1" si="29"/>
        <v>0.1410611611759704</v>
      </c>
      <c r="H61" s="67">
        <v>8.4977727637656042E-2</v>
      </c>
      <c r="I61" s="66">
        <f t="shared" ca="1" si="30"/>
        <v>8.4977727637656042E-2</v>
      </c>
      <c r="J61" s="67">
        <v>-6.9653938353106848E-2</v>
      </c>
      <c r="K61" s="66">
        <f t="shared" ca="1" si="31"/>
        <v>-6.9653938353106848E-2</v>
      </c>
      <c r="L61" s="65">
        <f t="shared" ca="1" si="32"/>
        <v>0.35185668863649733</v>
      </c>
      <c r="M61" s="67">
        <v>0.35185668863649733</v>
      </c>
      <c r="N61" s="27"/>
      <c r="O61" s="26">
        <f t="shared" si="14"/>
        <v>-22271</v>
      </c>
      <c r="P61" s="26">
        <f t="shared" si="33"/>
        <v>1071</v>
      </c>
      <c r="Q61" s="26">
        <f t="shared" si="34"/>
        <v>1904</v>
      </c>
      <c r="R61" s="26">
        <f t="shared" si="35"/>
        <v>3546</v>
      </c>
      <c r="S61" s="36">
        <f t="shared" si="36"/>
        <v>339238</v>
      </c>
      <c r="T61" s="73"/>
      <c r="U61" s="78"/>
      <c r="V61" s="78"/>
      <c r="W61" s="26"/>
      <c r="X61" s="26"/>
      <c r="Y61" s="26"/>
      <c r="Z61" s="26"/>
      <c r="AA61" s="26"/>
      <c r="AB61" s="26"/>
      <c r="AC61" s="73"/>
      <c r="AD61" s="37">
        <f t="shared" si="10"/>
        <v>49</v>
      </c>
      <c r="AE61" s="11"/>
      <c r="AF61" s="12"/>
      <c r="AG61" s="12"/>
      <c r="AH61" s="12"/>
      <c r="AL61" s="219">
        <f>(1+alloc1*Simulator!E61+alloc2*Simulator!F61+alloc3*Simulator!H61+alloc4*Simulator!J61+alloc5*Simulator!M61)</f>
        <v>1.0993219366734674</v>
      </c>
      <c r="AM61" s="215">
        <f>IF(SUM($AM$13:AM60)&lt;&gt;0,0,IF(O61&lt;0,B61-O60,0))</f>
        <v>0</v>
      </c>
      <c r="AN61" s="12">
        <f t="shared" si="16"/>
        <v>0</v>
      </c>
      <c r="AO61" s="12"/>
      <c r="AP61" s="12"/>
      <c r="AQ61" s="147"/>
      <c r="AR61" s="145" t="e">
        <f t="shared" si="26"/>
        <v>#N/A</v>
      </c>
      <c r="AS61" s="146" t="e">
        <f t="shared" si="37"/>
        <v>#N/A</v>
      </c>
      <c r="AT61" s="220" t="e">
        <f>IF(AQ61&lt;&gt;0,IF((AT60-B61)*(1+alloc1*Simulator!E61+alloc2*Simulator!F61+alloc3*Simulator!H61+alloc4*Simulator!J61+alloc5*Simulator!M61)&lt;0,NA(),(AT60-B61)*(1+alloc1*Simulator!E61+alloc2*Simulator!F61+alloc3*Simulator!H61+alloc4*Simulator!J61+alloc5*Simulator!M61)),NA())</f>
        <v>#N/A</v>
      </c>
      <c r="AU61" s="219" t="e">
        <f t="shared" si="38"/>
        <v>#N/A</v>
      </c>
      <c r="AV61" s="83">
        <f t="shared" si="18"/>
        <v>72.071056732063397</v>
      </c>
      <c r="AW61" s="85" t="e">
        <f t="shared" si="13"/>
        <v>#DIV/0!</v>
      </c>
      <c r="AX61" s="1">
        <f t="shared" si="19"/>
        <v>65.829541860204216</v>
      </c>
      <c r="AY61" s="85" t="e">
        <f t="shared" si="20"/>
        <v>#DIV/0!</v>
      </c>
      <c r="AZ61" s="1">
        <f t="shared" si="21"/>
        <v>222.37291740273329</v>
      </c>
      <c r="BA61" s="85" t="e">
        <f t="shared" si="22"/>
        <v>#DIV/0!</v>
      </c>
      <c r="BB61" s="1">
        <f t="shared" si="23"/>
        <v>22273.191034271214</v>
      </c>
      <c r="BC61" s="85" t="e">
        <f t="shared" si="24"/>
        <v>#DIV/0!</v>
      </c>
    </row>
    <row r="62" spans="1:55" hidden="1" x14ac:dyDescent="0.25">
      <c r="A62" s="37">
        <f t="shared" si="0"/>
        <v>50</v>
      </c>
      <c r="B62" s="142">
        <f t="shared" si="27"/>
        <v>521.12902792479235</v>
      </c>
      <c r="C62" s="27"/>
      <c r="D62" s="65">
        <f t="shared" si="28"/>
        <v>0.08</v>
      </c>
      <c r="E62" s="67">
        <v>0.08</v>
      </c>
      <c r="F62" s="67">
        <v>0.12484800427699178</v>
      </c>
      <c r="G62" s="66">
        <f t="shared" ca="1" si="29"/>
        <v>0.12484800427699178</v>
      </c>
      <c r="H62" s="67">
        <v>-8.8445029337794745E-2</v>
      </c>
      <c r="I62" s="66">
        <f t="shared" ca="1" si="30"/>
        <v>-8.8445029337794745E-2</v>
      </c>
      <c r="J62" s="67">
        <v>0.35912862252014777</v>
      </c>
      <c r="K62" s="66">
        <f t="shared" ca="1" si="31"/>
        <v>0.35912862252014777</v>
      </c>
      <c r="L62" s="65">
        <f t="shared" ca="1" si="32"/>
        <v>-4.6737916229351611E-2</v>
      </c>
      <c r="M62" s="67">
        <v>-4.6737916229351611E-2</v>
      </c>
      <c r="N62" s="27"/>
      <c r="O62" s="26">
        <f t="shared" si="14"/>
        <v>-24615</v>
      </c>
      <c r="P62" s="26">
        <f t="shared" si="33"/>
        <v>1205</v>
      </c>
      <c r="Q62" s="26">
        <f t="shared" si="34"/>
        <v>1736</v>
      </c>
      <c r="R62" s="26">
        <f t="shared" si="35"/>
        <v>4819</v>
      </c>
      <c r="S62" s="36">
        <f t="shared" si="36"/>
        <v>323383</v>
      </c>
      <c r="T62" s="73"/>
      <c r="U62" s="78"/>
      <c r="V62" s="78"/>
      <c r="W62" s="26"/>
      <c r="X62" s="26"/>
      <c r="Y62" s="26"/>
      <c r="Z62" s="26"/>
      <c r="AA62" s="26"/>
      <c r="AB62" s="26"/>
      <c r="AC62" s="73"/>
      <c r="AD62" s="37">
        <f t="shared" si="10"/>
        <v>50</v>
      </c>
      <c r="AE62" s="11"/>
      <c r="AF62" s="12"/>
      <c r="AG62" s="12"/>
      <c r="AH62" s="12"/>
      <c r="AL62" s="219">
        <f>(1+alloc1*Simulator!E62+alloc2*Simulator!F62+alloc3*Simulator!H62+alloc4*Simulator!J62+alloc5*Simulator!M62)</f>
        <v>1.06603486518922</v>
      </c>
      <c r="AM62" s="215">
        <f>IF(SUM($AM$13:AM61)&lt;&gt;0,0,IF(O62&lt;0,B62-O61,0))</f>
        <v>0</v>
      </c>
      <c r="AN62" s="12">
        <f t="shared" si="16"/>
        <v>0</v>
      </c>
      <c r="AO62" s="12"/>
      <c r="AP62" s="12"/>
      <c r="AQ62" s="147"/>
      <c r="AR62" s="145" t="e">
        <f t="shared" si="26"/>
        <v>#N/A</v>
      </c>
      <c r="AS62" s="146" t="e">
        <f t="shared" si="37"/>
        <v>#N/A</v>
      </c>
      <c r="AT62" s="220" t="e">
        <f>IF(AQ62&lt;&gt;0,IF((AT61-B62)*(1+alloc1*Simulator!E62+alloc2*Simulator!F62+alloc3*Simulator!H62+alloc4*Simulator!J62+alloc5*Simulator!M62)&lt;0,NA(),(AT61-B62)*(1+alloc1*Simulator!E62+alloc2*Simulator!F62+alloc3*Simulator!H62+alloc4*Simulator!J62+alloc5*Simulator!M62)),NA())</f>
        <v>#N/A</v>
      </c>
      <c r="AU62" s="219" t="e">
        <f t="shared" si="38"/>
        <v>#N/A</v>
      </c>
      <c r="AV62" s="83">
        <f t="shared" si="18"/>
        <v>81.068984331195367</v>
      </c>
      <c r="AW62" s="85" t="e">
        <f t="shared" si="13"/>
        <v>#DIV/0!</v>
      </c>
      <c r="AX62" s="1">
        <f t="shared" si="19"/>
        <v>60.007246099084867</v>
      </c>
      <c r="AY62" s="85" t="e">
        <f t="shared" si="20"/>
        <v>#DIV/0!</v>
      </c>
      <c r="AZ62" s="1">
        <f t="shared" si="21"/>
        <v>302.23339691536347</v>
      </c>
      <c r="BA62" s="85" t="e">
        <f t="shared" si="22"/>
        <v>#DIV/0!</v>
      </c>
      <c r="BB62" s="1">
        <f t="shared" si="23"/>
        <v>21232.188497551102</v>
      </c>
      <c r="BC62" s="85" t="e">
        <f t="shared" si="24"/>
        <v>#DIV/0!</v>
      </c>
    </row>
    <row r="63" spans="1:55" hidden="1" x14ac:dyDescent="0.25">
      <c r="A63" s="37">
        <f t="shared" si="0"/>
        <v>51</v>
      </c>
      <c r="B63" s="142">
        <f t="shared" si="27"/>
        <v>562.81935015877571</v>
      </c>
      <c r="C63" s="27"/>
      <c r="D63" s="65">
        <f t="shared" si="28"/>
        <v>0.08</v>
      </c>
      <c r="E63" s="67">
        <v>0.08</v>
      </c>
      <c r="F63" s="67">
        <v>3.1124594824763013E-2</v>
      </c>
      <c r="G63" s="66">
        <f t="shared" ca="1" si="29"/>
        <v>3.1124594824763013E-2</v>
      </c>
      <c r="H63" s="67">
        <v>7.9706816781533477E-2</v>
      </c>
      <c r="I63" s="66">
        <f t="shared" ca="1" si="30"/>
        <v>7.9706816781533477E-2</v>
      </c>
      <c r="J63" s="67">
        <v>0.65736581873424327</v>
      </c>
      <c r="K63" s="66">
        <f t="shared" ca="1" si="31"/>
        <v>0.65736581873424327</v>
      </c>
      <c r="L63" s="65">
        <f t="shared" ca="1" si="32"/>
        <v>0.23900959019319809</v>
      </c>
      <c r="M63" s="67">
        <v>0.23900959019319809</v>
      </c>
      <c r="N63" s="27"/>
      <c r="O63" s="26">
        <f t="shared" si="14"/>
        <v>-27192</v>
      </c>
      <c r="P63" s="26">
        <f t="shared" si="33"/>
        <v>1243</v>
      </c>
      <c r="Q63" s="26">
        <f t="shared" si="34"/>
        <v>1874</v>
      </c>
      <c r="R63" s="26">
        <f t="shared" si="35"/>
        <v>7987</v>
      </c>
      <c r="S63" s="36">
        <f t="shared" si="36"/>
        <v>400675</v>
      </c>
      <c r="T63" s="73"/>
      <c r="U63" s="78"/>
      <c r="V63" s="78"/>
      <c r="W63" s="26"/>
      <c r="X63" s="26"/>
      <c r="Y63" s="26"/>
      <c r="Z63" s="26"/>
      <c r="AA63" s="26"/>
      <c r="AB63" s="26"/>
      <c r="AC63" s="73"/>
      <c r="AD63" s="37">
        <f t="shared" si="10"/>
        <v>51</v>
      </c>
      <c r="AE63" s="11"/>
      <c r="AF63" s="12"/>
      <c r="AG63" s="12"/>
      <c r="AH63" s="12"/>
      <c r="AL63" s="219">
        <f>(1+alloc1*Simulator!E63+alloc2*Simulator!F63+alloc3*Simulator!H63+alloc4*Simulator!J63+alloc5*Simulator!M63)</f>
        <v>1.1486913637315272</v>
      </c>
      <c r="AM63" s="215">
        <f>IF(SUM($AM$13:AM62)&lt;&gt;0,0,IF(O63&lt;0,B63-O62,0))</f>
        <v>0</v>
      </c>
      <c r="AN63" s="12">
        <f t="shared" si="16"/>
        <v>0</v>
      </c>
      <c r="AO63" s="12"/>
      <c r="AP63" s="12"/>
      <c r="AQ63" s="147"/>
      <c r="AR63" s="145" t="e">
        <f t="shared" si="26"/>
        <v>#N/A</v>
      </c>
      <c r="AS63" s="146" t="e">
        <f t="shared" si="37"/>
        <v>#N/A</v>
      </c>
      <c r="AT63" s="220" t="e">
        <f>IF(AQ63&lt;&gt;0,IF((AT62-B63)*(1+alloc1*Simulator!E63+alloc2*Simulator!F63+alloc3*Simulator!H63+alloc4*Simulator!J63+alloc5*Simulator!M63)&lt;0,NA(),(AT62-B63)*(1+alloc1*Simulator!E63+alloc2*Simulator!F63+alloc3*Simulator!H63+alloc4*Simulator!J63+alloc5*Simulator!M63)),NA())</f>
        <v>#N/A</v>
      </c>
      <c r="AU63" s="219" t="e">
        <f t="shared" si="38"/>
        <v>#N/A</v>
      </c>
      <c r="AV63" s="83">
        <f t="shared" si="18"/>
        <v>83.592223621358883</v>
      </c>
      <c r="AW63" s="85" t="e">
        <f t="shared" si="13"/>
        <v>#DIV/0!</v>
      </c>
      <c r="AX63" s="1">
        <f t="shared" si="19"/>
        <v>64.79023266946902</v>
      </c>
      <c r="AY63" s="85" t="e">
        <f t="shared" si="20"/>
        <v>#DIV/0!</v>
      </c>
      <c r="AZ63" s="1">
        <f t="shared" si="21"/>
        <v>500.91130132746287</v>
      </c>
      <c r="BA63" s="85" t="e">
        <f t="shared" si="22"/>
        <v>#DIV/0!</v>
      </c>
      <c r="BB63" s="1">
        <f t="shared" si="23"/>
        <v>26306.885169255525</v>
      </c>
      <c r="BC63" s="85" t="e">
        <f t="shared" si="24"/>
        <v>#DIV/0!</v>
      </c>
    </row>
    <row r="64" spans="1:55" hidden="1" x14ac:dyDescent="0.25">
      <c r="A64" s="37">
        <f t="shared" si="0"/>
        <v>52</v>
      </c>
      <c r="B64" s="142">
        <f t="shared" si="27"/>
        <v>607.84489817147789</v>
      </c>
      <c r="C64" s="27"/>
      <c r="D64" s="65">
        <f t="shared" si="28"/>
        <v>0.08</v>
      </c>
      <c r="E64" s="67">
        <v>0.08</v>
      </c>
      <c r="F64" s="67">
        <v>7.2169816053444108E-2</v>
      </c>
      <c r="G64" s="66">
        <f t="shared" ca="1" si="29"/>
        <v>7.2169816053444108E-2</v>
      </c>
      <c r="H64" s="67">
        <v>1.3352088313007313E-2</v>
      </c>
      <c r="I64" s="66">
        <f t="shared" ca="1" si="30"/>
        <v>1.3352088313007313E-2</v>
      </c>
      <c r="J64" s="67">
        <v>0.12096533334137487</v>
      </c>
      <c r="K64" s="66">
        <f t="shared" ca="1" si="31"/>
        <v>0.12096533334137487</v>
      </c>
      <c r="L64" s="65">
        <f t="shared" ca="1" si="32"/>
        <v>-0.27396064407053156</v>
      </c>
      <c r="M64" s="67">
        <v>-0.27396064407053156</v>
      </c>
      <c r="N64" s="27"/>
      <c r="O64" s="26">
        <f t="shared" si="14"/>
        <v>-30024</v>
      </c>
      <c r="P64" s="26">
        <f t="shared" si="33"/>
        <v>1333</v>
      </c>
      <c r="Q64" s="26">
        <f t="shared" si="34"/>
        <v>1899</v>
      </c>
      <c r="R64" s="26">
        <f t="shared" si="35"/>
        <v>8953</v>
      </c>
      <c r="S64" s="36">
        <f t="shared" si="36"/>
        <v>290906</v>
      </c>
      <c r="T64" s="73"/>
      <c r="U64" s="78"/>
      <c r="V64" s="78"/>
      <c r="W64" s="26"/>
      <c r="X64" s="26"/>
      <c r="Y64" s="26"/>
      <c r="Z64" s="26"/>
      <c r="AA64" s="26"/>
      <c r="AB64" s="26"/>
      <c r="AC64" s="73"/>
      <c r="AD64" s="37">
        <f t="shared" si="10"/>
        <v>52</v>
      </c>
      <c r="AE64" s="11"/>
      <c r="AF64" s="12"/>
      <c r="AG64" s="12"/>
      <c r="AH64" s="12"/>
      <c r="AL64" s="219">
        <f>(1+alloc1*Simulator!E64+alloc2*Simulator!F64+alloc3*Simulator!H64+alloc4*Simulator!J64+alloc5*Simulator!M64)</f>
        <v>1.0345878681950302</v>
      </c>
      <c r="AM64" s="215">
        <f>IF(SUM($AM$13:AM63)&lt;&gt;0,0,IF(O64&lt;0,B64-O63,0))</f>
        <v>0</v>
      </c>
      <c r="AN64" s="12">
        <f t="shared" si="16"/>
        <v>0</v>
      </c>
      <c r="AO64" s="12"/>
      <c r="AP64" s="12"/>
      <c r="AQ64" s="147"/>
      <c r="AR64" s="145" t="e">
        <f t="shared" si="26"/>
        <v>#N/A</v>
      </c>
      <c r="AS64" s="146" t="e">
        <f t="shared" si="37"/>
        <v>#N/A</v>
      </c>
      <c r="AT64" s="220" t="e">
        <f>IF(AQ64&lt;&gt;0,IF((AT63-B64)*(1+alloc1*Simulator!E64+alloc2*Simulator!F64+alloc3*Simulator!H64+alloc4*Simulator!J64+alloc5*Simulator!M64)&lt;0,NA(),(AT63-B64)*(1+alloc1*Simulator!E64+alloc2*Simulator!F64+alloc3*Simulator!H64+alloc4*Simulator!J64+alloc5*Simulator!M64)),NA())</f>
        <v>#N/A</v>
      </c>
      <c r="AU64" s="219" t="e">
        <f t="shared" si="38"/>
        <v>#N/A</v>
      </c>
      <c r="AV64" s="83">
        <f t="shared" si="18"/>
        <v>89.625059023610717</v>
      </c>
      <c r="AW64" s="85" t="e">
        <f t="shared" si="13"/>
        <v>#DIV/0!</v>
      </c>
      <c r="AX64" s="1">
        <f t="shared" si="19"/>
        <v>65.655317577892063</v>
      </c>
      <c r="AY64" s="85" t="e">
        <f t="shared" si="20"/>
        <v>#DIV/0!</v>
      </c>
      <c r="AZ64" s="1">
        <f t="shared" si="21"/>
        <v>561.50420386700137</v>
      </c>
      <c r="BA64" s="85" t="e">
        <f t="shared" si="22"/>
        <v>#DIV/0!</v>
      </c>
      <c r="BB64" s="1">
        <f t="shared" si="23"/>
        <v>19099.833964796766</v>
      </c>
      <c r="BC64" s="85" t="e">
        <f t="shared" si="24"/>
        <v>#DIV/0!</v>
      </c>
    </row>
    <row r="65" spans="1:55" hidden="1" x14ac:dyDescent="0.25">
      <c r="A65" s="37">
        <f t="shared" si="0"/>
        <v>53</v>
      </c>
      <c r="B65" s="142">
        <f t="shared" si="27"/>
        <v>656.47249002519607</v>
      </c>
      <c r="C65" s="27"/>
      <c r="D65" s="65">
        <f t="shared" si="28"/>
        <v>0.08</v>
      </c>
      <c r="E65" s="67">
        <v>0.08</v>
      </c>
      <c r="F65" s="67">
        <v>0.11468822219542921</v>
      </c>
      <c r="G65" s="66">
        <f t="shared" ca="1" si="29"/>
        <v>0.11468822219542921</v>
      </c>
      <c r="H65" s="67">
        <v>0.24903353289078775</v>
      </c>
      <c r="I65" s="66">
        <f t="shared" ca="1" si="30"/>
        <v>0.24903353289078775</v>
      </c>
      <c r="J65" s="67">
        <v>-0.15461943826454205</v>
      </c>
      <c r="K65" s="66">
        <f t="shared" ca="1" si="31"/>
        <v>-0.15461943826454205</v>
      </c>
      <c r="L65" s="65">
        <f t="shared" ca="1" si="32"/>
        <v>0.41286578276951613</v>
      </c>
      <c r="M65" s="67">
        <v>0.41286578276951613</v>
      </c>
      <c r="N65" s="27"/>
      <c r="O65" s="26">
        <f t="shared" si="14"/>
        <v>-33135</v>
      </c>
      <c r="P65" s="26">
        <f t="shared" si="33"/>
        <v>1486</v>
      </c>
      <c r="Q65" s="26">
        <f t="shared" si="34"/>
        <v>2372</v>
      </c>
      <c r="R65" s="26">
        <f t="shared" si="35"/>
        <v>7569</v>
      </c>
      <c r="S65" s="36">
        <f t="shared" si="36"/>
        <v>411011</v>
      </c>
      <c r="T65" s="73"/>
      <c r="U65" s="78"/>
      <c r="V65" s="78"/>
      <c r="W65" s="26"/>
      <c r="X65" s="26"/>
      <c r="Y65" s="26"/>
      <c r="Z65" s="26"/>
      <c r="AA65" s="26"/>
      <c r="AB65" s="26"/>
      <c r="AC65" s="73"/>
      <c r="AD65" s="37">
        <f t="shared" si="10"/>
        <v>53</v>
      </c>
      <c r="AE65" s="11"/>
      <c r="AF65" s="12"/>
      <c r="AG65" s="12"/>
      <c r="AH65" s="12"/>
      <c r="AL65" s="219">
        <f>(1+alloc1*Simulator!E65+alloc2*Simulator!F65+alloc3*Simulator!H65+alloc4*Simulator!J65+alloc5*Simulator!M65)</f>
        <v>1.1271001632481978</v>
      </c>
      <c r="AM65" s="215">
        <f>IF(SUM($AM$13:AM64)&lt;&gt;0,0,IF(O65&lt;0,B65-O64,0))</f>
        <v>0</v>
      </c>
      <c r="AN65" s="12">
        <f t="shared" si="16"/>
        <v>0</v>
      </c>
      <c r="AO65" s="12"/>
      <c r="AP65" s="12"/>
      <c r="AQ65" s="147"/>
      <c r="AR65" s="145" t="e">
        <f t="shared" si="26"/>
        <v>#N/A</v>
      </c>
      <c r="AS65" s="146" t="e">
        <f t="shared" si="37"/>
        <v>#N/A</v>
      </c>
      <c r="AT65" s="220" t="e">
        <f>IF(AQ65&lt;&gt;0,IF((AT64-B65)*(1+alloc1*Simulator!E65+alloc2*Simulator!F65+alloc3*Simulator!H65+alloc4*Simulator!J65+alloc5*Simulator!M65)&lt;0,NA(),(AT64-B65)*(1+alloc1*Simulator!E65+alloc2*Simulator!F65+alloc3*Simulator!H65+alloc4*Simulator!J65+alloc5*Simulator!M65)),NA())</f>
        <v>#N/A</v>
      </c>
      <c r="AU65" s="219" t="e">
        <f t="shared" si="38"/>
        <v>#N/A</v>
      </c>
      <c r="AV65" s="83">
        <f t="shared" si="18"/>
        <v>99.903997707189049</v>
      </c>
      <c r="AW65" s="85" t="e">
        <f t="shared" si="13"/>
        <v>#DIV/0!</v>
      </c>
      <c r="AX65" s="1">
        <f t="shared" si="19"/>
        <v>82.005693267381162</v>
      </c>
      <c r="AY65" s="85" t="e">
        <f t="shared" si="20"/>
        <v>#DIV/0!</v>
      </c>
      <c r="AZ65" s="1">
        <f t="shared" si="21"/>
        <v>474.68473928190673</v>
      </c>
      <c r="BA65" s="85" t="e">
        <f t="shared" si="22"/>
        <v>#DIV/0!</v>
      </c>
      <c r="BB65" s="1">
        <f t="shared" si="23"/>
        <v>26985.501865440372</v>
      </c>
      <c r="BC65" s="85" t="e">
        <f t="shared" si="24"/>
        <v>#DIV/0!</v>
      </c>
    </row>
    <row r="66" spans="1:55" hidden="1" x14ac:dyDescent="0.25">
      <c r="A66" s="37">
        <f t="shared" si="0"/>
        <v>54</v>
      </c>
      <c r="B66" s="142">
        <f t="shared" si="27"/>
        <v>708.99028922721175</v>
      </c>
      <c r="C66" s="27"/>
      <c r="D66" s="65">
        <f t="shared" si="28"/>
        <v>0.08</v>
      </c>
      <c r="E66" s="67">
        <v>0.08</v>
      </c>
      <c r="F66" s="67">
        <v>0.10283392842726309</v>
      </c>
      <c r="G66" s="66">
        <f t="shared" ca="1" si="29"/>
        <v>0.10283392842726309</v>
      </c>
      <c r="H66" s="67">
        <v>7.1503952418006125E-2</v>
      </c>
      <c r="I66" s="66">
        <f t="shared" ca="1" si="30"/>
        <v>7.1503952418006125E-2</v>
      </c>
      <c r="J66" s="67">
        <v>0.13912117613973304</v>
      </c>
      <c r="K66" s="66">
        <f t="shared" ca="1" si="31"/>
        <v>0.13912117613973304</v>
      </c>
      <c r="L66" s="65">
        <f t="shared" ca="1" si="32"/>
        <v>0.88974881575502107</v>
      </c>
      <c r="M66" s="67">
        <v>0.88974881575502107</v>
      </c>
      <c r="N66" s="27"/>
      <c r="O66" s="26">
        <f t="shared" si="14"/>
        <v>-36552</v>
      </c>
      <c r="P66" s="26">
        <f t="shared" si="33"/>
        <v>1639</v>
      </c>
      <c r="Q66" s="26">
        <f t="shared" si="34"/>
        <v>2542</v>
      </c>
      <c r="R66" s="26">
        <f t="shared" si="35"/>
        <v>8622</v>
      </c>
      <c r="S66" s="36">
        <f t="shared" si="36"/>
        <v>776708</v>
      </c>
      <c r="T66" s="73"/>
      <c r="U66" s="78"/>
      <c r="V66" s="78"/>
      <c r="W66" s="26"/>
      <c r="X66" s="26"/>
      <c r="Y66" s="26"/>
      <c r="Z66" s="26"/>
      <c r="AA66" s="26"/>
      <c r="AB66" s="26"/>
      <c r="AC66" s="73"/>
      <c r="AD66" s="37">
        <f t="shared" si="10"/>
        <v>54</v>
      </c>
      <c r="AE66" s="6"/>
      <c r="AL66" s="219">
        <f>(1+alloc1*Simulator!E66+alloc2*Simulator!F66+alloc3*Simulator!H66+alloc4*Simulator!J66+alloc5*Simulator!M66)</f>
        <v>1.1674711825158031</v>
      </c>
      <c r="AM66" s="215">
        <f>IF(SUM($AM$13:AM65)&lt;&gt;0,0,IF(O66&lt;0,B66-O65,0))</f>
        <v>0</v>
      </c>
      <c r="AN66" s="12">
        <f t="shared" si="16"/>
        <v>0</v>
      </c>
      <c r="AQ66" s="145"/>
      <c r="AR66" s="145" t="e">
        <f t="shared" si="26"/>
        <v>#N/A</v>
      </c>
      <c r="AS66" s="146" t="e">
        <f t="shared" si="37"/>
        <v>#N/A</v>
      </c>
      <c r="AT66" s="220" t="e">
        <f>IF(AQ66&lt;&gt;0,IF((AT65-B66)*(1+alloc1*Simulator!E66+alloc2*Simulator!F66+alloc3*Simulator!H66+alloc4*Simulator!J66+alloc5*Simulator!M66)&lt;0,NA(),(AT65-B66)*(1+alloc1*Simulator!E66+alloc2*Simulator!F66+alloc3*Simulator!H66+alloc4*Simulator!J66+alloc5*Simulator!M66)),NA())</f>
        <v>#N/A</v>
      </c>
      <c r="AU66" s="219" t="e">
        <f t="shared" si="38"/>
        <v>#N/A</v>
      </c>
      <c r="AV66" s="83">
        <f t="shared" si="18"/>
        <v>110.17751825700758</v>
      </c>
      <c r="AW66" s="85" t="e">
        <f t="shared" si="13"/>
        <v>#DIV/0!</v>
      </c>
      <c r="AX66" s="1">
        <f t="shared" si="19"/>
        <v>87.869424456777594</v>
      </c>
      <c r="AY66" s="85" t="e">
        <f t="shared" si="20"/>
        <v>#DIV/0!</v>
      </c>
      <c r="AZ66" s="1">
        <f t="shared" si="21"/>
        <v>540.72343850638811</v>
      </c>
      <c r="BA66" s="85" t="e">
        <f t="shared" si="22"/>
        <v>#DIV/0!</v>
      </c>
      <c r="BB66" s="1">
        <f t="shared" si="23"/>
        <v>50995.820192770858</v>
      </c>
      <c r="BC66" s="85" t="e">
        <f t="shared" si="24"/>
        <v>#DIV/0!</v>
      </c>
    </row>
    <row r="67" spans="1:55" hidden="1" x14ac:dyDescent="0.25">
      <c r="A67" s="37">
        <f t="shared" si="0"/>
        <v>55</v>
      </c>
      <c r="B67" s="142">
        <f t="shared" si="27"/>
        <v>765.70951236538883</v>
      </c>
      <c r="C67" s="27"/>
      <c r="D67" s="65">
        <f t="shared" si="28"/>
        <v>0.08</v>
      </c>
      <c r="E67" s="67">
        <v>0.08</v>
      </c>
      <c r="F67" s="67">
        <v>8.605204611101322E-2</v>
      </c>
      <c r="G67" s="66">
        <f t="shared" ca="1" si="29"/>
        <v>8.605204611101322E-2</v>
      </c>
      <c r="H67" s="67">
        <v>4.0113787661965272E-2</v>
      </c>
      <c r="I67" s="66">
        <f t="shared" ca="1" si="30"/>
        <v>4.0113787661965272E-2</v>
      </c>
      <c r="J67" s="67">
        <v>0.2590529656897923</v>
      </c>
      <c r="K67" s="66">
        <f t="shared" ca="1" si="31"/>
        <v>0.2590529656897923</v>
      </c>
      <c r="L67" s="65">
        <f t="shared" ca="1" si="32"/>
        <v>-6.3173925953312005E-2</v>
      </c>
      <c r="M67" s="67">
        <v>-6.3173925953312005E-2</v>
      </c>
      <c r="N67" s="27"/>
      <c r="O67" s="26">
        <f t="shared" si="14"/>
        <v>-40303</v>
      </c>
      <c r="P67" s="26">
        <f t="shared" si="33"/>
        <v>1780</v>
      </c>
      <c r="Q67" s="26">
        <f t="shared" si="34"/>
        <v>2644</v>
      </c>
      <c r="R67" s="26">
        <f t="shared" si="35"/>
        <v>10856</v>
      </c>
      <c r="S67" s="36">
        <f t="shared" si="36"/>
        <v>727640</v>
      </c>
      <c r="T67" s="73"/>
      <c r="U67" s="78"/>
      <c r="V67" s="78"/>
      <c r="W67" s="26"/>
      <c r="X67" s="26"/>
      <c r="Y67" s="26"/>
      <c r="Z67" s="26"/>
      <c r="AA67" s="26"/>
      <c r="AB67" s="26"/>
      <c r="AC67" s="73"/>
      <c r="AD67" s="37">
        <f t="shared" si="10"/>
        <v>55</v>
      </c>
      <c r="AE67" s="6"/>
      <c r="AL67" s="219">
        <f>(1+alloc1*Simulator!E67+alloc2*Simulator!F67+alloc3*Simulator!H67+alloc4*Simulator!J67+alloc5*Simulator!M67)</f>
        <v>1.0762158661171424</v>
      </c>
      <c r="AM67" s="215">
        <f>IF(SUM($AM$13:AM66)&lt;&gt;0,0,IF(O67&lt;0,B67-O66,0))</f>
        <v>0</v>
      </c>
      <c r="AN67" s="12">
        <f t="shared" si="16"/>
        <v>0</v>
      </c>
      <c r="AQ67" s="145"/>
      <c r="AR67" s="145" t="e">
        <f t="shared" si="26"/>
        <v>#N/A</v>
      </c>
      <c r="AS67" s="146" t="e">
        <f t="shared" si="37"/>
        <v>#N/A</v>
      </c>
      <c r="AT67" s="220" t="e">
        <f>IF(AQ67&lt;&gt;0,IF((AT66-B67)*(1+alloc1*Simulator!E67+alloc2*Simulator!F67+alloc3*Simulator!H67+alloc4*Simulator!J67+alloc5*Simulator!M67)&lt;0,NA(),(AT66-B67)*(1+alloc1*Simulator!E67+alloc2*Simulator!F67+alloc3*Simulator!H67+alloc4*Simulator!J67+alloc5*Simulator!M67)),NA())</f>
        <v>#N/A</v>
      </c>
      <c r="AU67" s="219" t="e">
        <f t="shared" si="38"/>
        <v>#N/A</v>
      </c>
      <c r="AV67" s="83">
        <f t="shared" si="18"/>
        <v>119.6585191384566</v>
      </c>
      <c r="AW67" s="85" t="e">
        <f t="shared" si="13"/>
        <v>#DIV/0!</v>
      </c>
      <c r="AX67" s="1">
        <f t="shared" si="19"/>
        <v>91.394199891415866</v>
      </c>
      <c r="AY67" s="85" t="e">
        <f t="shared" si="20"/>
        <v>#DIV/0!</v>
      </c>
      <c r="AZ67" s="1">
        <f t="shared" si="21"/>
        <v>680.79944886944998</v>
      </c>
      <c r="BA67" s="85" t="e">
        <f t="shared" si="22"/>
        <v>#DIV/0!</v>
      </c>
      <c r="BB67" s="1">
        <f t="shared" si="23"/>
        <v>47774.214023984343</v>
      </c>
      <c r="BC67" s="85" t="e">
        <f t="shared" si="24"/>
        <v>#DIV/0!</v>
      </c>
    </row>
    <row r="68" spans="1:55" hidden="1" x14ac:dyDescent="0.25">
      <c r="A68" s="37">
        <f t="shared" si="0"/>
        <v>56</v>
      </c>
      <c r="B68" s="142">
        <f t="shared" si="27"/>
        <v>826.96627335462006</v>
      </c>
      <c r="C68" s="27"/>
      <c r="D68" s="65">
        <f t="shared" si="28"/>
        <v>0.08</v>
      </c>
      <c r="E68" s="67">
        <v>0.08</v>
      </c>
      <c r="F68" s="67">
        <v>0.11362445678816624</v>
      </c>
      <c r="G68" s="66">
        <f t="shared" ca="1" si="29"/>
        <v>0.11362445678816624</v>
      </c>
      <c r="H68" s="67">
        <v>-7.0576427353077398E-2</v>
      </c>
      <c r="I68" s="66">
        <f t="shared" ca="1" si="30"/>
        <v>-7.0576427353077398E-2</v>
      </c>
      <c r="J68" s="67">
        <v>9.2111325589451412E-2</v>
      </c>
      <c r="K68" s="66">
        <f t="shared" ca="1" si="31"/>
        <v>9.2111325589451412E-2</v>
      </c>
      <c r="L68" s="65">
        <f t="shared" ca="1" si="32"/>
        <v>0.17962265252257845</v>
      </c>
      <c r="M68" s="67">
        <v>0.17962265252257845</v>
      </c>
      <c r="N68" s="27"/>
      <c r="O68" s="26">
        <f t="shared" si="14"/>
        <v>-44420</v>
      </c>
      <c r="P68" s="26">
        <f t="shared" si="33"/>
        <v>1982</v>
      </c>
      <c r="Q68" s="26">
        <f t="shared" si="34"/>
        <v>2457</v>
      </c>
      <c r="R68" s="26">
        <f t="shared" si="35"/>
        <v>11856</v>
      </c>
      <c r="S68" s="36">
        <f t="shared" si="36"/>
        <v>858341</v>
      </c>
      <c r="T68" s="73"/>
      <c r="U68" s="78"/>
      <c r="V68" s="78"/>
      <c r="W68" s="26"/>
      <c r="X68" s="26"/>
      <c r="Y68" s="26"/>
      <c r="Z68" s="26"/>
      <c r="AA68" s="26"/>
      <c r="AB68" s="26"/>
      <c r="AC68" s="73"/>
      <c r="AD68" s="37">
        <f t="shared" si="10"/>
        <v>56</v>
      </c>
      <c r="AE68" s="6"/>
      <c r="AL68" s="219">
        <f>(1+alloc1*Simulator!E68+alloc2*Simulator!F68+alloc3*Simulator!H68+alloc4*Simulator!J68+alloc5*Simulator!M68)</f>
        <v>1.0644205580194042</v>
      </c>
      <c r="AM68" s="215">
        <f>IF(SUM($AM$13:AM67)&lt;&gt;0,0,IF(O68&lt;0,B68-O67,0))</f>
        <v>0</v>
      </c>
      <c r="AN68" s="12">
        <f t="shared" si="16"/>
        <v>0</v>
      </c>
      <c r="AQ68" s="145"/>
      <c r="AR68" s="145" t="e">
        <f t="shared" si="26"/>
        <v>#N/A</v>
      </c>
      <c r="AS68" s="146" t="e">
        <f t="shared" si="37"/>
        <v>#N/A</v>
      </c>
      <c r="AT68" s="220" t="e">
        <f>IF(AQ68&lt;&gt;0,IF((AT67-B68)*(1+alloc1*Simulator!E68+alloc2*Simulator!F68+alloc3*Simulator!H68+alloc4*Simulator!J68+alloc5*Simulator!M68)&lt;0,NA(),(AT67-B68)*(1+alloc1*Simulator!E68+alloc2*Simulator!F68+alloc3*Simulator!H68+alloc4*Simulator!J68+alloc5*Simulator!M68)),NA())</f>
        <v>#N/A</v>
      </c>
      <c r="AU68" s="219" t="e">
        <f t="shared" si="38"/>
        <v>#N/A</v>
      </c>
      <c r="AV68" s="83">
        <f t="shared" si="18"/>
        <v>133.25465337564012</v>
      </c>
      <c r="AW68" s="85" t="e">
        <f t="shared" si="13"/>
        <v>#DIV/0!</v>
      </c>
      <c r="AX68" s="1">
        <f t="shared" si="19"/>
        <v>84.943923782286731</v>
      </c>
      <c r="AY68" s="85" t="e">
        <f t="shared" si="20"/>
        <v>#DIV/0!</v>
      </c>
      <c r="AZ68" s="1">
        <f t="shared" si="21"/>
        <v>743.50878856538304</v>
      </c>
      <c r="BA68" s="85" t="e">
        <f t="shared" si="22"/>
        <v>#DIV/0!</v>
      </c>
      <c r="BB68" s="1">
        <f t="shared" si="23"/>
        <v>56355.54506915377</v>
      </c>
      <c r="BC68" s="85" t="e">
        <f t="shared" si="24"/>
        <v>#DIV/0!</v>
      </c>
    </row>
    <row r="69" spans="1:55" hidden="1" x14ac:dyDescent="0.25">
      <c r="A69" s="37">
        <f t="shared" si="0"/>
        <v>57</v>
      </c>
      <c r="B69" s="142">
        <f t="shared" si="27"/>
        <v>893.12357522298964</v>
      </c>
      <c r="C69" s="27"/>
      <c r="D69" s="65">
        <f t="shared" si="28"/>
        <v>0.08</v>
      </c>
      <c r="E69" s="67">
        <v>0.08</v>
      </c>
      <c r="F69" s="67">
        <v>0.11798887610887956</v>
      </c>
      <c r="G69" s="66">
        <f t="shared" ca="1" si="29"/>
        <v>0.11798887610887956</v>
      </c>
      <c r="H69" s="67">
        <v>2.1090075622970966E-2</v>
      </c>
      <c r="I69" s="66">
        <f t="shared" ca="1" si="30"/>
        <v>2.1090075622970966E-2</v>
      </c>
      <c r="J69" s="67">
        <v>-5.4646228385583751E-2</v>
      </c>
      <c r="K69" s="66">
        <f t="shared" ca="1" si="31"/>
        <v>-5.4646228385583751E-2</v>
      </c>
      <c r="L69" s="65">
        <f t="shared" ca="1" si="32"/>
        <v>0.72072186159521312</v>
      </c>
      <c r="M69" s="67">
        <v>0.72072186159521312</v>
      </c>
      <c r="N69" s="27"/>
      <c r="O69" s="26">
        <f t="shared" si="14"/>
        <v>-48938</v>
      </c>
      <c r="P69" s="26">
        <f t="shared" si="33"/>
        <v>2216</v>
      </c>
      <c r="Q69" s="26">
        <f t="shared" si="34"/>
        <v>2509</v>
      </c>
      <c r="R69" s="26">
        <f t="shared" si="35"/>
        <v>11208</v>
      </c>
      <c r="S69" s="36">
        <f t="shared" si="36"/>
        <v>1476966</v>
      </c>
      <c r="T69" s="73"/>
      <c r="U69" s="78"/>
      <c r="V69" s="78"/>
      <c r="W69" s="26"/>
      <c r="X69" s="26"/>
      <c r="Y69" s="26"/>
      <c r="Z69" s="26"/>
      <c r="AA69" s="26"/>
      <c r="AB69" s="26"/>
      <c r="AC69" s="73"/>
      <c r="AD69" s="37">
        <f t="shared" si="10"/>
        <v>57</v>
      </c>
      <c r="AE69" s="6"/>
      <c r="AL69" s="219">
        <f>(1+alloc1*Simulator!E69+alloc2*Simulator!F69+alloc3*Simulator!H69+alloc4*Simulator!J69+alloc5*Simulator!M69)</f>
        <v>1.1226244660564451</v>
      </c>
      <c r="AM69" s="215">
        <f>IF(SUM($AM$13:AM68)&lt;&gt;0,0,IF(O69&lt;0,B69-O68,0))</f>
        <v>0</v>
      </c>
      <c r="AN69" s="12">
        <f t="shared" si="16"/>
        <v>0</v>
      </c>
      <c r="AQ69" s="145"/>
      <c r="AR69" s="145" t="e">
        <f t="shared" si="26"/>
        <v>#N/A</v>
      </c>
      <c r="AS69" s="146" t="e">
        <f t="shared" si="37"/>
        <v>#N/A</v>
      </c>
      <c r="AT69" s="220" t="e">
        <f>IF(AQ69&lt;&gt;0,IF((AT68-B69)*(1+alloc1*Simulator!E69+alloc2*Simulator!F69+alloc3*Simulator!H69+alloc4*Simulator!J69+alloc5*Simulator!M69)&lt;0,NA(),(AT68-B69)*(1+alloc1*Simulator!E69+alloc2*Simulator!F69+alloc3*Simulator!H69+alloc4*Simulator!J69+alloc5*Simulator!M69)),NA())</f>
        <v>#N/A</v>
      </c>
      <c r="AU69" s="219" t="e">
        <f t="shared" si="38"/>
        <v>#N/A</v>
      </c>
      <c r="AV69" s="83">
        <f t="shared" si="18"/>
        <v>148.97722016371023</v>
      </c>
      <c r="AW69" s="85" t="e">
        <f t="shared" si="13"/>
        <v>#DIV/0!</v>
      </c>
      <c r="AX69" s="1">
        <f t="shared" si="19"/>
        <v>86.735397558567044</v>
      </c>
      <c r="AY69" s="85" t="e">
        <f t="shared" si="20"/>
        <v>#DIV/0!</v>
      </c>
      <c r="AZ69" s="1">
        <f t="shared" si="21"/>
        <v>702.87883749875039</v>
      </c>
      <c r="BA69" s="85" t="e">
        <f t="shared" si="22"/>
        <v>#DIV/0!</v>
      </c>
      <c r="BB69" s="1">
        <f t="shared" si="23"/>
        <v>96972.218422607213</v>
      </c>
      <c r="BC69" s="85" t="e">
        <f t="shared" si="24"/>
        <v>#DIV/0!</v>
      </c>
    </row>
    <row r="70" spans="1:55" hidden="1" x14ac:dyDescent="0.25">
      <c r="A70" s="37">
        <f t="shared" si="0"/>
        <v>58</v>
      </c>
      <c r="B70" s="142">
        <f t="shared" si="27"/>
        <v>964.57346124082892</v>
      </c>
      <c r="C70" s="27"/>
      <c r="D70" s="65">
        <f t="shared" si="28"/>
        <v>0.08</v>
      </c>
      <c r="E70" s="67">
        <v>0.08</v>
      </c>
      <c r="F70" s="67">
        <v>6.6668647384809543E-2</v>
      </c>
      <c r="G70" s="66">
        <f t="shared" ca="1" si="29"/>
        <v>6.6668647384809543E-2</v>
      </c>
      <c r="H70" s="67">
        <v>5.3844438553711217E-2</v>
      </c>
      <c r="I70" s="66">
        <f t="shared" ca="1" si="30"/>
        <v>5.3844438553711217E-2</v>
      </c>
      <c r="J70" s="67">
        <v>1.7258376582573134E-2</v>
      </c>
      <c r="K70" s="66">
        <f t="shared" ca="1" si="31"/>
        <v>1.7258376582573134E-2</v>
      </c>
      <c r="L70" s="65">
        <f t="shared" ca="1" si="32"/>
        <v>0.33519947391361948</v>
      </c>
      <c r="M70" s="67">
        <v>0.33519947391361948</v>
      </c>
      <c r="N70" s="27"/>
      <c r="O70" s="26">
        <f t="shared" si="14"/>
        <v>-53895</v>
      </c>
      <c r="P70" s="26">
        <f t="shared" si="33"/>
        <v>2364</v>
      </c>
      <c r="Q70" s="26">
        <f t="shared" si="34"/>
        <v>2644</v>
      </c>
      <c r="R70" s="26">
        <f t="shared" si="35"/>
        <v>11401</v>
      </c>
      <c r="S70" s="36">
        <f t="shared" si="36"/>
        <v>1972044</v>
      </c>
      <c r="T70" s="73"/>
      <c r="U70" s="78"/>
      <c r="V70" s="78"/>
      <c r="W70" s="26"/>
      <c r="X70" s="26"/>
      <c r="Y70" s="26"/>
      <c r="Z70" s="26"/>
      <c r="AA70" s="26"/>
      <c r="AB70" s="26"/>
      <c r="AC70" s="73"/>
      <c r="AD70" s="37">
        <f t="shared" si="10"/>
        <v>58</v>
      </c>
      <c r="AE70" s="6"/>
      <c r="AL70" s="219">
        <f>(1+alloc1*Simulator!E70+alloc2*Simulator!F70+alloc3*Simulator!H70+alloc4*Simulator!J70+alloc5*Simulator!M70)</f>
        <v>1.0926815374988423</v>
      </c>
      <c r="AM70" s="215">
        <f>IF(SUM($AM$13:AM69)&lt;&gt;0,0,IF(O70&lt;0,B70-O69,0))</f>
        <v>0</v>
      </c>
      <c r="AN70" s="12">
        <f t="shared" si="16"/>
        <v>0</v>
      </c>
      <c r="AQ70" s="145"/>
      <c r="AR70" s="145" t="e">
        <f t="shared" si="26"/>
        <v>#N/A</v>
      </c>
      <c r="AS70" s="146" t="e">
        <f t="shared" si="37"/>
        <v>#N/A</v>
      </c>
      <c r="AT70" s="220" t="e">
        <f>IF(AQ70&lt;&gt;0,IF((AT69-B70)*(1+alloc1*Simulator!E70+alloc2*Simulator!F70+alloc3*Simulator!H70+alloc4*Simulator!J70+alloc5*Simulator!M70)&lt;0,NA(),(AT69-B70)*(1+alloc1*Simulator!E70+alloc2*Simulator!F70+alloc3*Simulator!H70+alloc4*Simulator!J70+alloc5*Simulator!M70)),NA())</f>
        <v>#N/A</v>
      </c>
      <c r="AU70" s="219" t="e">
        <f t="shared" si="38"/>
        <v>#N/A</v>
      </c>
      <c r="AV70" s="83">
        <f t="shared" si="18"/>
        <v>158.90932992317374</v>
      </c>
      <c r="AW70" s="85" t="e">
        <f t="shared" si="13"/>
        <v>#DIV/0!</v>
      </c>
      <c r="AX70" s="1">
        <f t="shared" si="19"/>
        <v>91.405616342841014</v>
      </c>
      <c r="AY70" s="85" t="e">
        <f t="shared" si="20"/>
        <v>#DIV/0!</v>
      </c>
      <c r="AZ70" s="1">
        <f t="shared" si="21"/>
        <v>715.00938516822498</v>
      </c>
      <c r="BA70" s="85" t="e">
        <f t="shared" si="22"/>
        <v>#DIV/0!</v>
      </c>
      <c r="BB70" s="1">
        <f t="shared" si="23"/>
        <v>129477.25502210174</v>
      </c>
      <c r="BC70" s="85" t="e">
        <f t="shared" si="24"/>
        <v>#DIV/0!</v>
      </c>
    </row>
    <row r="71" spans="1:55" hidden="1" x14ac:dyDescent="0.25">
      <c r="A71" s="37">
        <f t="shared" si="0"/>
        <v>59</v>
      </c>
      <c r="B71" s="142">
        <f t="shared" si="27"/>
        <v>1041.7393381400952</v>
      </c>
      <c r="C71" s="27"/>
      <c r="D71" s="65">
        <f t="shared" si="28"/>
        <v>0.08</v>
      </c>
      <c r="E71" s="67">
        <v>0.08</v>
      </c>
      <c r="F71" s="67">
        <v>4.8046482133290276E-2</v>
      </c>
      <c r="G71" s="66">
        <f t="shared" ca="1" si="29"/>
        <v>4.8046482133290276E-2</v>
      </c>
      <c r="H71" s="67">
        <v>0.21415061289622264</v>
      </c>
      <c r="I71" s="66">
        <f t="shared" ca="1" si="30"/>
        <v>0.21415061289622264</v>
      </c>
      <c r="J71" s="67">
        <v>0.32876877860343534</v>
      </c>
      <c r="K71" s="66">
        <f t="shared" ca="1" si="31"/>
        <v>0.32876877860343534</v>
      </c>
      <c r="L71" s="65">
        <f t="shared" ca="1" si="32"/>
        <v>6.1377485504592974E-2</v>
      </c>
      <c r="M71" s="67">
        <v>6.1377485504592974E-2</v>
      </c>
      <c r="N71" s="27"/>
      <c r="O71" s="26">
        <f t="shared" si="14"/>
        <v>-59332</v>
      </c>
      <c r="P71" s="26">
        <f t="shared" si="33"/>
        <v>2478</v>
      </c>
      <c r="Q71" s="26">
        <f t="shared" si="34"/>
        <v>3210</v>
      </c>
      <c r="R71" s="26">
        <f t="shared" si="35"/>
        <v>15149</v>
      </c>
      <c r="S71" s="36">
        <f t="shared" si="36"/>
        <v>2093083</v>
      </c>
      <c r="T71" s="73"/>
      <c r="U71" s="78"/>
      <c r="V71" s="78"/>
      <c r="W71" s="26"/>
      <c r="X71" s="26"/>
      <c r="Y71" s="26"/>
      <c r="Z71" s="26"/>
      <c r="AA71" s="26"/>
      <c r="AB71" s="26"/>
      <c r="AC71" s="73"/>
      <c r="AD71" s="37">
        <f t="shared" si="10"/>
        <v>59</v>
      </c>
      <c r="AE71" s="6"/>
      <c r="AL71" s="219">
        <f>(1+alloc1*Simulator!E71+alloc2*Simulator!F71+alloc3*Simulator!H71+alloc4*Simulator!J71+alloc5*Simulator!M71)</f>
        <v>1.1266493972033762</v>
      </c>
      <c r="AM71" s="215">
        <f>IF(SUM($AM$13:AM70)&lt;&gt;0,0,IF(O71&lt;0,B71-O70,0))</f>
        <v>0</v>
      </c>
      <c r="AN71" s="12">
        <f t="shared" si="16"/>
        <v>0</v>
      </c>
      <c r="AQ71" s="145"/>
      <c r="AR71" s="145" t="e">
        <f t="shared" si="26"/>
        <v>#N/A</v>
      </c>
      <c r="AS71" s="146" t="e">
        <f t="shared" si="37"/>
        <v>#N/A</v>
      </c>
      <c r="AT71" s="220" t="e">
        <f>IF(AQ71&lt;&gt;0,IF((AT70-B71)*(1+alloc1*Simulator!E71+alloc2*Simulator!F71+alloc3*Simulator!H71+alloc4*Simulator!J71+alloc5*Simulator!M71)&lt;0,NA(),(AT70-B71)*(1+alloc1*Simulator!E71+alloc2*Simulator!F71+alloc3*Simulator!H71+alloc4*Simulator!J71+alloc5*Simulator!M71)),NA())</f>
        <v>#N/A</v>
      </c>
      <c r="AU71" s="219" t="e">
        <f t="shared" si="38"/>
        <v>#N/A</v>
      </c>
      <c r="AV71" s="83">
        <f t="shared" si="18"/>
        <v>166.54436420414063</v>
      </c>
      <c r="AW71" s="85" t="e">
        <f t="shared" si="13"/>
        <v>#DIV/0!</v>
      </c>
      <c r="AX71" s="1">
        <f t="shared" si="19"/>
        <v>110.98018510481741</v>
      </c>
      <c r="AY71" s="85" t="e">
        <f t="shared" si="20"/>
        <v>#DIV/0!</v>
      </c>
      <c r="AZ71" s="1">
        <f t="shared" si="21"/>
        <v>950.08214741997551</v>
      </c>
      <c r="BA71" s="85" t="e">
        <f t="shared" si="22"/>
        <v>#DIV/0!</v>
      </c>
      <c r="BB71" s="1">
        <f t="shared" si="23"/>
        <v>137424.24336539529</v>
      </c>
      <c r="BC71" s="85" t="e">
        <f t="shared" si="24"/>
        <v>#DIV/0!</v>
      </c>
    </row>
    <row r="72" spans="1:55" hidden="1" x14ac:dyDescent="0.25">
      <c r="A72" s="37">
        <f t="shared" si="0"/>
        <v>60</v>
      </c>
      <c r="B72" s="142">
        <f t="shared" si="27"/>
        <v>1125.0784851913027</v>
      </c>
      <c r="C72" s="27"/>
      <c r="D72" s="65">
        <f t="shared" si="28"/>
        <v>0.08</v>
      </c>
      <c r="E72" s="67">
        <v>0.08</v>
      </c>
      <c r="F72" s="67">
        <v>0.14830246968011734</v>
      </c>
      <c r="G72" s="66">
        <f t="shared" ca="1" si="29"/>
        <v>0.14830246968011734</v>
      </c>
      <c r="H72" s="67">
        <v>7.8217074979820153E-2</v>
      </c>
      <c r="I72" s="66">
        <f t="shared" ca="1" si="30"/>
        <v>7.8217074979820153E-2</v>
      </c>
      <c r="J72" s="67">
        <v>-0.260357780745545</v>
      </c>
      <c r="K72" s="66">
        <f t="shared" ca="1" si="31"/>
        <v>-0.260357780745545</v>
      </c>
      <c r="L72" s="65">
        <f t="shared" ca="1" si="32"/>
        <v>0.28276266321017141</v>
      </c>
      <c r="M72" s="67">
        <v>0.28276266321017141</v>
      </c>
      <c r="N72" s="27"/>
      <c r="O72" s="26">
        <f t="shared" si="14"/>
        <v>-65294</v>
      </c>
      <c r="P72" s="26">
        <f t="shared" si="33"/>
        <v>2845</v>
      </c>
      <c r="Q72" s="26">
        <f t="shared" si="34"/>
        <v>3461</v>
      </c>
      <c r="R72" s="26">
        <f t="shared" si="35"/>
        <v>11205</v>
      </c>
      <c r="S72" s="36">
        <f t="shared" si="36"/>
        <v>2684929</v>
      </c>
      <c r="T72" s="73"/>
      <c r="U72" s="78"/>
      <c r="V72" s="78"/>
      <c r="W72" s="26"/>
      <c r="X72" s="26"/>
      <c r="Y72" s="26"/>
      <c r="Z72" s="26"/>
      <c r="AA72" s="26"/>
      <c r="AB72" s="26"/>
      <c r="AC72" s="73"/>
      <c r="AD72" s="37">
        <f t="shared" si="10"/>
        <v>60</v>
      </c>
      <c r="AE72" s="6"/>
      <c r="AL72" s="219">
        <f>(1+alloc1*Simulator!E72+alloc2*Simulator!F72+alloc3*Simulator!H72+alloc4*Simulator!J72+alloc5*Simulator!M72)</f>
        <v>1.0727141502104385</v>
      </c>
      <c r="AM72" s="215">
        <f>IF(SUM($AM$13:AM71)&lt;&gt;0,0,IF(O72&lt;0,B72-O71,0))</f>
        <v>0</v>
      </c>
      <c r="AN72" s="12">
        <f t="shared" si="16"/>
        <v>0</v>
      </c>
      <c r="AQ72" s="145"/>
      <c r="AR72" s="145" t="e">
        <f t="shared" si="26"/>
        <v>#N/A</v>
      </c>
      <c r="AS72" s="146" t="e">
        <f t="shared" si="37"/>
        <v>#N/A</v>
      </c>
      <c r="AT72" s="220" t="e">
        <f>IF(AQ72&lt;&gt;0,IF((AT71-B72)*(1+alloc1*Simulator!E72+alloc2*Simulator!F72+alloc3*Simulator!H72+alloc4*Simulator!J72+alloc5*Simulator!M72)&lt;0,NA(),(AT71-B72)*(1+alloc1*Simulator!E72+alloc2*Simulator!F72+alloc3*Simulator!H72+alloc4*Simulator!J72+alloc5*Simulator!M72)),NA())</f>
        <v>#N/A</v>
      </c>
      <c r="AU72" s="219" t="e">
        <f t="shared" si="38"/>
        <v>#N/A</v>
      </c>
      <c r="AV72" s="83">
        <f t="shared" si="18"/>
        <v>191.24330472691963</v>
      </c>
      <c r="AW72" s="85" t="e">
        <f t="shared" si="13"/>
        <v>#DIV/0!</v>
      </c>
      <c r="AX72" s="1">
        <f t="shared" si="19"/>
        <v>119.66073056443523</v>
      </c>
      <c r="AY72" s="85" t="e">
        <f t="shared" si="20"/>
        <v>#DIV/0!</v>
      </c>
      <c r="AZ72" s="1">
        <f t="shared" si="21"/>
        <v>702.72086799174895</v>
      </c>
      <c r="BA72" s="85" t="e">
        <f t="shared" si="22"/>
        <v>#DIV/0!</v>
      </c>
      <c r="BB72" s="1">
        <f t="shared" si="23"/>
        <v>176282.68840903719</v>
      </c>
      <c r="BC72" s="85" t="e">
        <f t="shared" si="24"/>
        <v>#DIV/0!</v>
      </c>
    </row>
    <row r="73" spans="1:55" hidden="1" x14ac:dyDescent="0.25">
      <c r="A73" s="37">
        <f t="shared" si="0"/>
        <v>61</v>
      </c>
      <c r="B73" s="142">
        <f t="shared" si="27"/>
        <v>1215.084764006607</v>
      </c>
      <c r="C73" s="27"/>
      <c r="D73" s="65">
        <f t="shared" si="28"/>
        <v>0.08</v>
      </c>
      <c r="E73" s="67">
        <v>0.08</v>
      </c>
      <c r="F73" s="67">
        <v>8.7980431878952797E-2</v>
      </c>
      <c r="G73" s="66">
        <f t="shared" ca="1" si="29"/>
        <v>8.7980431878952797E-2</v>
      </c>
      <c r="H73" s="67">
        <v>0.12474978755433318</v>
      </c>
      <c r="I73" s="66">
        <f t="shared" ca="1" si="30"/>
        <v>0.12474978755433318</v>
      </c>
      <c r="J73" s="67">
        <v>0.22007924210869262</v>
      </c>
      <c r="K73" s="66">
        <f t="shared" ca="1" si="31"/>
        <v>0.22007924210869262</v>
      </c>
      <c r="L73" s="65">
        <f t="shared" ca="1" si="32"/>
        <v>-0.20506831718935878</v>
      </c>
      <c r="M73" s="67">
        <v>-0.20506831718935878</v>
      </c>
      <c r="N73" s="27"/>
      <c r="O73" s="26">
        <f t="shared" si="14"/>
        <v>-71830</v>
      </c>
      <c r="P73" s="26">
        <f t="shared" si="33"/>
        <v>3095</v>
      </c>
      <c r="Q73" s="26">
        <f t="shared" si="34"/>
        <v>3893</v>
      </c>
      <c r="R73" s="26">
        <f t="shared" si="35"/>
        <v>13671</v>
      </c>
      <c r="S73" s="36">
        <f t="shared" si="36"/>
        <v>2134335</v>
      </c>
      <c r="T73" s="73"/>
      <c r="U73" s="78"/>
      <c r="V73" s="78"/>
      <c r="W73" s="26"/>
      <c r="X73" s="26"/>
      <c r="Y73" s="26"/>
      <c r="Z73" s="26"/>
      <c r="AA73" s="26"/>
      <c r="AB73" s="26"/>
      <c r="AC73" s="73"/>
      <c r="AD73" s="37">
        <f t="shared" si="10"/>
        <v>61</v>
      </c>
      <c r="AE73" s="6"/>
      <c r="AL73" s="219">
        <f>(1+alloc1*Simulator!E73+alloc2*Simulator!F73+alloc3*Simulator!H73+alloc4*Simulator!J73+alloc5*Simulator!M73)</f>
        <v>1.0752490931906955</v>
      </c>
      <c r="AM73" s="215">
        <f>IF(SUM($AM$13:AM72)&lt;&gt;0,0,IF(O73&lt;0,B73-O72,0))</f>
        <v>0</v>
      </c>
      <c r="AN73" s="12">
        <f t="shared" si="16"/>
        <v>0</v>
      </c>
      <c r="AQ73" s="145"/>
      <c r="AR73" s="145" t="e">
        <f t="shared" si="26"/>
        <v>#N/A</v>
      </c>
      <c r="AS73" s="146" t="e">
        <f t="shared" si="37"/>
        <v>#N/A</v>
      </c>
      <c r="AT73" s="220" t="e">
        <f>IF(AQ73&lt;&gt;0,IF((AT72-B73)*(1+alloc1*Simulator!E73+alloc2*Simulator!F73+alloc3*Simulator!H73+alloc4*Simulator!J73+alloc5*Simulator!M73)&lt;0,NA(),(AT72-B73)*(1+alloc1*Simulator!E73+alloc2*Simulator!F73+alloc3*Simulator!H73+alloc4*Simulator!J73+alloc5*Simulator!M73)),NA())</f>
        <v>#N/A</v>
      </c>
      <c r="AU73" s="219" t="e">
        <f t="shared" si="38"/>
        <v>#N/A</v>
      </c>
      <c r="AV73" s="83">
        <f t="shared" si="18"/>
        <v>208.0689732707522</v>
      </c>
      <c r="AW73" s="85" t="e">
        <f t="shared" si="13"/>
        <v>#DIV/0!</v>
      </c>
      <c r="AX73" s="1">
        <f t="shared" si="19"/>
        <v>134.58838128094482</v>
      </c>
      <c r="AY73" s="85" t="e">
        <f t="shared" si="20"/>
        <v>#DIV/0!</v>
      </c>
      <c r="AZ73" s="1">
        <f t="shared" si="21"/>
        <v>857.37514403333569</v>
      </c>
      <c r="BA73" s="85" t="e">
        <f t="shared" si="22"/>
        <v>#DIV/0!</v>
      </c>
      <c r="BB73" s="1">
        <f t="shared" si="23"/>
        <v>140132.69414737984</v>
      </c>
      <c r="BC73" s="85" t="e">
        <f t="shared" si="24"/>
        <v>#DIV/0!</v>
      </c>
    </row>
    <row r="74" spans="1:55" hidden="1" x14ac:dyDescent="0.25">
      <c r="A74" s="37">
        <f t="shared" si="0"/>
        <v>62</v>
      </c>
      <c r="B74" s="142">
        <f t="shared" si="27"/>
        <v>1312.2915451271356</v>
      </c>
      <c r="C74" s="27"/>
      <c r="D74" s="65">
        <f t="shared" si="28"/>
        <v>0.08</v>
      </c>
      <c r="E74" s="67">
        <v>0.08</v>
      </c>
      <c r="F74" s="67">
        <v>9.7027118227235865E-2</v>
      </c>
      <c r="G74" s="66">
        <f t="shared" ca="1" si="29"/>
        <v>9.7027118227235865E-2</v>
      </c>
      <c r="H74" s="67">
        <v>8.8724703422099649E-2</v>
      </c>
      <c r="I74" s="66">
        <f t="shared" ca="1" si="30"/>
        <v>8.8724703422099649E-2</v>
      </c>
      <c r="J74" s="67">
        <v>-0.2533720438370699</v>
      </c>
      <c r="K74" s="66">
        <f t="shared" ca="1" si="31"/>
        <v>-0.2533720438370699</v>
      </c>
      <c r="L74" s="65">
        <f t="shared" ca="1" si="32"/>
        <v>-3.822238034259523E-2</v>
      </c>
      <c r="M74" s="67">
        <v>-3.822238034259523E-2</v>
      </c>
      <c r="N74" s="27"/>
      <c r="O74" s="26">
        <f t="shared" si="14"/>
        <v>-78994</v>
      </c>
      <c r="P74" s="26">
        <f t="shared" si="33"/>
        <v>3395</v>
      </c>
      <c r="Q74" s="26">
        <f t="shared" si="34"/>
        <v>4238</v>
      </c>
      <c r="R74" s="26">
        <f t="shared" si="35"/>
        <v>10207</v>
      </c>
      <c r="S74" s="36">
        <f t="shared" si="36"/>
        <v>2052756</v>
      </c>
      <c r="T74" s="73"/>
      <c r="U74" s="78"/>
      <c r="V74" s="78"/>
      <c r="W74" s="26"/>
      <c r="X74" s="26"/>
      <c r="Y74" s="26"/>
      <c r="Z74" s="26"/>
      <c r="AA74" s="26"/>
      <c r="AB74" s="26"/>
      <c r="AC74" s="73"/>
      <c r="AD74" s="37">
        <f t="shared" si="10"/>
        <v>62</v>
      </c>
      <c r="AE74" s="6"/>
      <c r="AL74" s="219">
        <f>(1+alloc1*Simulator!E74+alloc2*Simulator!F74+alloc3*Simulator!H74+alloc4*Simulator!J74+alloc5*Simulator!M74)</f>
        <v>1.0382882100891768</v>
      </c>
      <c r="AM74" s="215">
        <f>IF(SUM($AM$13:AM73)&lt;&gt;0,0,IF(O74&lt;0,B74-O73,0))</f>
        <v>0</v>
      </c>
      <c r="AN74" s="12">
        <f t="shared" si="16"/>
        <v>0</v>
      </c>
      <c r="AQ74" s="145"/>
      <c r="AR74" s="145" t="e">
        <f t="shared" si="26"/>
        <v>#N/A</v>
      </c>
      <c r="AS74" s="146" t="e">
        <f t="shared" si="37"/>
        <v>#N/A</v>
      </c>
      <c r="AT74" s="220" t="e">
        <f>IF(AQ74&lt;&gt;0,IF((AT73-B74)*(1+alloc1*Simulator!E74+alloc2*Simulator!F74+alloc3*Simulator!H74+alloc4*Simulator!J74+alloc5*Simulator!M74)&lt;0,NA(),(AT73-B74)*(1+alloc1*Simulator!E74+alloc2*Simulator!F74+alloc3*Simulator!H74+alloc4*Simulator!J74+alloc5*Simulator!M74)),NA())</f>
        <v>#N/A</v>
      </c>
      <c r="AU74" s="219" t="e">
        <f t="shared" si="38"/>
        <v>#N/A</v>
      </c>
      <c r="AV74" s="83">
        <f t="shared" si="18"/>
        <v>228.25730613971302</v>
      </c>
      <c r="AW74" s="85" t="e">
        <f t="shared" si="13"/>
        <v>#DIV/0!</v>
      </c>
      <c r="AX74" s="1">
        <f t="shared" si="19"/>
        <v>146.52969549415712</v>
      </c>
      <c r="AY74" s="85" t="e">
        <f t="shared" si="20"/>
        <v>#DIV/0!</v>
      </c>
      <c r="AZ74" s="1">
        <f t="shared" si="21"/>
        <v>640.14025145450728</v>
      </c>
      <c r="BA74" s="85" t="e">
        <f t="shared" si="22"/>
        <v>#DIV/0!</v>
      </c>
      <c r="BB74" s="1">
        <f t="shared" si="23"/>
        <v>134776.48901324612</v>
      </c>
      <c r="BC74" s="85" t="e">
        <f t="shared" si="24"/>
        <v>#DIV/0!</v>
      </c>
    </row>
    <row r="75" spans="1:55" hidden="1" x14ac:dyDescent="0.25">
      <c r="A75" s="37">
        <f t="shared" si="0"/>
        <v>63</v>
      </c>
      <c r="B75" s="142">
        <f t="shared" si="27"/>
        <v>1417.2748687373066</v>
      </c>
      <c r="C75" s="27"/>
      <c r="D75" s="65">
        <f t="shared" si="28"/>
        <v>0.08</v>
      </c>
      <c r="E75" s="67">
        <v>0.08</v>
      </c>
      <c r="F75" s="67">
        <v>0.1335012732208013</v>
      </c>
      <c r="G75" s="66">
        <f t="shared" ca="1" si="29"/>
        <v>0.1335012732208013</v>
      </c>
      <c r="H75" s="67">
        <v>2.970274649361597E-2</v>
      </c>
      <c r="I75" s="66">
        <f t="shared" ca="1" si="30"/>
        <v>2.970274649361597E-2</v>
      </c>
      <c r="J75" s="67">
        <v>0.31018743440034191</v>
      </c>
      <c r="K75" s="66">
        <f t="shared" ca="1" si="31"/>
        <v>0.31018743440034191</v>
      </c>
      <c r="L75" s="65">
        <f t="shared" ca="1" si="32"/>
        <v>0.16548478316186452</v>
      </c>
      <c r="M75" s="67">
        <v>0.16548478316186452</v>
      </c>
      <c r="N75" s="27"/>
      <c r="O75" s="26">
        <f t="shared" si="14"/>
        <v>-86844</v>
      </c>
      <c r="P75" s="26">
        <f t="shared" si="33"/>
        <v>3848</v>
      </c>
      <c r="Q75" s="26">
        <f t="shared" si="34"/>
        <v>4364</v>
      </c>
      <c r="R75" s="26">
        <f t="shared" si="35"/>
        <v>13373</v>
      </c>
      <c r="S75" s="36">
        <f t="shared" si="36"/>
        <v>2392456</v>
      </c>
      <c r="T75" s="73"/>
      <c r="U75" s="78"/>
      <c r="V75" s="78"/>
      <c r="W75" s="26"/>
      <c r="X75" s="26"/>
      <c r="Y75" s="26"/>
      <c r="Z75" s="26"/>
      <c r="AA75" s="26"/>
      <c r="AB75" s="26"/>
      <c r="AC75" s="73"/>
      <c r="AD75" s="37">
        <f t="shared" si="10"/>
        <v>63</v>
      </c>
      <c r="AE75" s="6"/>
      <c r="AL75" s="219">
        <f>(1+alloc1*Simulator!E75+alloc2*Simulator!F75+alloc3*Simulator!H75+alloc4*Simulator!J75+alloc5*Simulator!M75)</f>
        <v>1.1068578983770241</v>
      </c>
      <c r="AM75" s="215">
        <f>IF(SUM($AM$13:AM74)&lt;&gt;0,0,IF(O75&lt;0,B75-O74,0))</f>
        <v>0</v>
      </c>
      <c r="AN75" s="12">
        <f t="shared" si="16"/>
        <v>0</v>
      </c>
      <c r="AQ75" s="145"/>
      <c r="AR75" s="145" t="e">
        <f t="shared" si="26"/>
        <v>#N/A</v>
      </c>
      <c r="AS75" s="146" t="e">
        <f t="shared" si="37"/>
        <v>#N/A</v>
      </c>
      <c r="AT75" s="220" t="e">
        <f>IF(AQ75&lt;&gt;0,IF((AT74-B75)*(1+alloc1*Simulator!E75+alloc2*Simulator!F75+alloc3*Simulator!H75+alloc4*Simulator!J75+alloc5*Simulator!M75)&lt;0,NA(),(AT74-B75)*(1+alloc1*Simulator!E75+alloc2*Simulator!F75+alloc3*Simulator!H75+alloc4*Simulator!J75+alloc5*Simulator!M75)),NA())</f>
        <v>#N/A</v>
      </c>
      <c r="AU75" s="219" t="e">
        <f t="shared" si="38"/>
        <v>#N/A</v>
      </c>
      <c r="AV75" s="83">
        <f t="shared" si="18"/>
        <v>258.72994713131499</v>
      </c>
      <c r="AW75" s="85" t="e">
        <f t="shared" si="13"/>
        <v>#DIV/0!</v>
      </c>
      <c r="AX75" s="1">
        <f t="shared" si="19"/>
        <v>150.88202989320681</v>
      </c>
      <c r="AY75" s="85" t="e">
        <f t="shared" si="20"/>
        <v>#DIV/0!</v>
      </c>
      <c r="AZ75" s="1">
        <f t="shared" si="21"/>
        <v>838.70371370957059</v>
      </c>
      <c r="BA75" s="85" t="e">
        <f t="shared" si="22"/>
        <v>#DIV/0!</v>
      </c>
      <c r="BB75" s="1">
        <f t="shared" si="23"/>
        <v>157079.94707292056</v>
      </c>
      <c r="BC75" s="85" t="e">
        <f t="shared" si="24"/>
        <v>#DIV/0!</v>
      </c>
    </row>
    <row r="76" spans="1:55" hidden="1" x14ac:dyDescent="0.25">
      <c r="A76" s="37">
        <f t="shared" si="0"/>
        <v>64</v>
      </c>
      <c r="B76" s="142">
        <f t="shared" si="27"/>
        <v>1530.6568582362913</v>
      </c>
      <c r="C76" s="27"/>
      <c r="D76" s="65">
        <f t="shared" si="28"/>
        <v>0.08</v>
      </c>
      <c r="E76" s="67">
        <v>0.08</v>
      </c>
      <c r="F76" s="67">
        <v>0.11123763282505957</v>
      </c>
      <c r="G76" s="66">
        <f t="shared" ca="1" si="29"/>
        <v>0.11123763282505957</v>
      </c>
      <c r="H76" s="67">
        <v>0.1252070143934067</v>
      </c>
      <c r="I76" s="66">
        <f t="shared" ca="1" si="30"/>
        <v>0.1252070143934067</v>
      </c>
      <c r="J76" s="67">
        <v>0.2252892730858746</v>
      </c>
      <c r="K76" s="66">
        <f t="shared" ca="1" si="31"/>
        <v>0.2252892730858746</v>
      </c>
      <c r="L76" s="65">
        <f t="shared" ca="1" si="32"/>
        <v>0.48553167484916204</v>
      </c>
      <c r="M76" s="67">
        <v>0.48553167484916204</v>
      </c>
      <c r="N76" s="27"/>
      <c r="O76" s="26">
        <f t="shared" si="14"/>
        <v>-95445</v>
      </c>
      <c r="P76" s="26">
        <f t="shared" si="33"/>
        <v>4276</v>
      </c>
      <c r="Q76" s="26">
        <f t="shared" si="34"/>
        <v>4910</v>
      </c>
      <c r="R76" s="26">
        <f t="shared" si="35"/>
        <v>16386</v>
      </c>
      <c r="S76" s="36">
        <f t="shared" si="36"/>
        <v>3554069</v>
      </c>
      <c r="T76" s="73"/>
      <c r="U76" s="78"/>
      <c r="V76" s="78"/>
      <c r="W76" s="26"/>
      <c r="X76" s="26"/>
      <c r="Y76" s="26"/>
      <c r="Z76" s="26"/>
      <c r="AA76" s="26"/>
      <c r="AB76" s="26"/>
      <c r="AC76" s="73"/>
      <c r="AD76" s="37">
        <f t="shared" si="10"/>
        <v>64</v>
      </c>
      <c r="AE76" s="6"/>
      <c r="AL76" s="219">
        <f>(1+alloc1*Simulator!E76+alloc2*Simulator!F76+alloc3*Simulator!H76+alloc4*Simulator!J76+alloc5*Simulator!M76)</f>
        <v>1.1472472609546909</v>
      </c>
      <c r="AM76" s="215">
        <f>IF(SUM($AM$13:AM75)&lt;&gt;0,0,IF(O76&lt;0,B76-O75,0))</f>
        <v>0</v>
      </c>
      <c r="AN76" s="12">
        <f t="shared" si="16"/>
        <v>0</v>
      </c>
      <c r="AQ76" s="145"/>
      <c r="AR76" s="145" t="e">
        <f t="shared" si="26"/>
        <v>#N/A</v>
      </c>
      <c r="AS76" s="146" t="e">
        <f t="shared" si="37"/>
        <v>#N/A</v>
      </c>
      <c r="AT76" s="220" t="e">
        <f>IF(AQ76&lt;&gt;0,IF((AT75-B76)*(1+alloc1*Simulator!E76+alloc2*Simulator!F76+alloc3*Simulator!H76+alloc4*Simulator!J76+alloc5*Simulator!M76)&lt;0,NA(),(AT75-B76)*(1+alloc1*Simulator!E76+alloc2*Simulator!F76+alloc3*Simulator!H76+alloc4*Simulator!J76+alloc5*Simulator!M76)),NA())</f>
        <v>#N/A</v>
      </c>
      <c r="AU76" s="219" t="e">
        <f t="shared" si="38"/>
        <v>#N/A</v>
      </c>
      <c r="AV76" s="83">
        <f t="shared" si="18"/>
        <v>287.51045399115526</v>
      </c>
      <c r="AW76" s="85" t="e">
        <f t="shared" si="13"/>
        <v>#DIV/0!</v>
      </c>
      <c r="AX76" s="1">
        <f t="shared" si="19"/>
        <v>169.77351838175198</v>
      </c>
      <c r="AY76" s="85" t="e">
        <f t="shared" si="20"/>
        <v>#DIV/0!</v>
      </c>
      <c r="AZ76" s="1">
        <f t="shared" si="21"/>
        <v>1027.6546637056233</v>
      </c>
      <c r="BA76" s="85" t="e">
        <f t="shared" si="22"/>
        <v>#DIV/0!</v>
      </c>
      <c r="BB76" s="1">
        <f t="shared" si="23"/>
        <v>233347.23686045341</v>
      </c>
      <c r="BC76" s="85" t="e">
        <f t="shared" si="24"/>
        <v>#DIV/0!</v>
      </c>
    </row>
    <row r="77" spans="1:55" hidden="1" x14ac:dyDescent="0.25">
      <c r="A77" s="37">
        <f t="shared" si="0"/>
        <v>65</v>
      </c>
      <c r="B77" s="142">
        <f t="shared" ref="B77:B108" si="39">(prepen1*(1+rinf)^(A77-1)/100000)-(pension/100000)-(income*(1+incrate)^(A77-1)/100000)</f>
        <v>1653.109406895195</v>
      </c>
      <c r="C77" s="27"/>
      <c r="D77" s="65">
        <f t="shared" ref="D77:D108" si="40">IF(E77&lt;&gt;"",E77,_min1)</f>
        <v>0.08</v>
      </c>
      <c r="E77" s="67">
        <v>0.08</v>
      </c>
      <c r="F77" s="67">
        <v>7.1900977369158819E-2</v>
      </c>
      <c r="G77" s="66">
        <f t="shared" ref="G77:G108" ca="1" si="41">IF(F77&lt;&gt;"",F77,NORMINV(RAND(),mean2,stdev2))</f>
        <v>7.1900977369158819E-2</v>
      </c>
      <c r="H77" s="67">
        <v>0.13378948092528939</v>
      </c>
      <c r="I77" s="66">
        <f t="shared" ref="I77:I108" ca="1" si="42">IF(H77&lt;&gt;"",H77,NORMINV(RAND(),mean3,stdev3))</f>
        <v>0.13378948092528939</v>
      </c>
      <c r="J77" s="67">
        <v>0.36838432164500168</v>
      </c>
      <c r="K77" s="66">
        <f t="shared" ref="K77:K108" ca="1" si="43">IF(J77&lt;&gt;"",J77,NORMINV(RAND(),mean4,stdev4))</f>
        <v>0.36838432164500168</v>
      </c>
      <c r="L77" s="65">
        <f t="shared" ref="L77:L108" ca="1" si="44">IF(M77&lt;&gt;"",M77,NORMINV(RAND(),mean5,stdev5))</f>
        <v>0.22902522128875497</v>
      </c>
      <c r="M77" s="67">
        <v>0.22902522128875497</v>
      </c>
      <c r="N77" s="27"/>
      <c r="O77" s="26">
        <f t="shared" si="14"/>
        <v>-104866</v>
      </c>
      <c r="P77" s="26">
        <f t="shared" ref="P77:P111" si="45">ROUND((P76-U76-V76+IF(trans3="bucket 2",X76)+IF(trans4="bucket 2",Z76)+IF(trans5="bucket 2",AB76))*(1+F77),0)</f>
        <v>4583</v>
      </c>
      <c r="Q77" s="26">
        <f t="shared" ref="Q77:Q111" si="46">ROUND((Q76-W76-X76+IF(trans2="bucket 3",V76)+IF(trans4="bucket 3",Z76)+IF(trans5="bucket 3",AB76))*(1+H77),0)</f>
        <v>5567</v>
      </c>
      <c r="R77" s="26">
        <f t="shared" ref="R77:R111" si="47">ROUND((R76-Y76-Z76+IF(trans2="bucket 4",V76)+IF(trans3="bucket 4",X76)+IF(trans5="bucket 4",AB76))*(1+J77),0)</f>
        <v>22422</v>
      </c>
      <c r="S77" s="36">
        <f t="shared" ref="S77:S111" si="48">ROUND((S76-AA76-AB76+IF(trans2="bucket 5",V76)+IF(trans3="bucket 5",X76)+IF(trans4="bucket 5",Z76))*(1+M77),0)</f>
        <v>4368040</v>
      </c>
      <c r="T77" s="73"/>
      <c r="U77" s="78"/>
      <c r="V77" s="78"/>
      <c r="W77" s="26"/>
      <c r="X77" s="26"/>
      <c r="Y77" s="26"/>
      <c r="Z77" s="26"/>
      <c r="AA77" s="26"/>
      <c r="AB77" s="26"/>
      <c r="AC77" s="73"/>
      <c r="AD77" s="37">
        <f t="shared" si="10"/>
        <v>65</v>
      </c>
      <c r="AE77" s="6"/>
      <c r="AL77" s="219">
        <f>(1+alloc1*Simulator!E77+alloc2*Simulator!F77+alloc3*Simulator!H77+alloc4*Simulator!J77+alloc5*Simulator!M77)</f>
        <v>1.1336889482153494</v>
      </c>
      <c r="AM77" s="215">
        <f>IF(SUM($AM$13:AM76)&lt;&gt;0,0,IF(O77&lt;0,B77-O76,0))</f>
        <v>0</v>
      </c>
      <c r="AN77" s="12">
        <f t="shared" si="16"/>
        <v>0</v>
      </c>
      <c r="AQ77" s="145"/>
      <c r="AR77" s="145" t="e">
        <f t="shared" si="26"/>
        <v>#N/A</v>
      </c>
      <c r="AS77" s="146" t="e">
        <f t="shared" ref="AS77:AS111" si="49">IF(AQ77&lt;&gt;0,IF(AS76- B77&lt;0,NA(),(AS76-B77)*(1+retroi)),NA())</f>
        <v>#N/A</v>
      </c>
      <c r="AT77" s="220" t="e">
        <f>IF(AQ77&lt;&gt;0,IF((AT76-B77)*(1+alloc1*Simulator!E77+alloc2*Simulator!F77+alloc3*Simulator!H77+alloc4*Simulator!J77+alloc5*Simulator!M77)&lt;0,NA(),(AT76-B77)*(1+alloc1*Simulator!E77+alloc2*Simulator!F77+alloc3*Simulator!H77+alloc4*Simulator!J77+alloc5*Simulator!M77)),NA())</f>
        <v>#N/A</v>
      </c>
      <c r="AU77" s="219" t="e">
        <f t="shared" ref="AU77:AU111" si="50">IF(AQ77&lt;&gt;0,IF(AU76-B77&lt;0,NA(),(AU76-B77)*(1+retroi)),NA())</f>
        <v>#N/A</v>
      </c>
      <c r="AV77" s="83">
        <f t="shared" si="18"/>
        <v>308.18273663696988</v>
      </c>
      <c r="AW77" s="85" t="e">
        <f t="shared" si="13"/>
        <v>#DIV/0!</v>
      </c>
      <c r="AX77" s="1">
        <f t="shared" si="19"/>
        <v>192.48742928090664</v>
      </c>
      <c r="AY77" s="85" t="e">
        <f t="shared" si="20"/>
        <v>#DIV/0!</v>
      </c>
      <c r="AZ77" s="1">
        <f t="shared" si="21"/>
        <v>1406.2265298801415</v>
      </c>
      <c r="BA77" s="85" t="e">
        <f t="shared" si="22"/>
        <v>#DIV/0!</v>
      </c>
      <c r="BB77" s="1">
        <f t="shared" si="23"/>
        <v>286789.63941953826</v>
      </c>
      <c r="BC77" s="85" t="e">
        <f t="shared" si="24"/>
        <v>#DIV/0!</v>
      </c>
    </row>
    <row r="78" spans="1:55" hidden="1" x14ac:dyDescent="0.25">
      <c r="A78" s="37">
        <f t="shared" ref="A78:A111" si="51">A77+1</f>
        <v>66</v>
      </c>
      <c r="B78" s="142">
        <f t="shared" si="39"/>
        <v>1785.3581594468108</v>
      </c>
      <c r="C78" s="27"/>
      <c r="D78" s="65">
        <f t="shared" si="40"/>
        <v>0.08</v>
      </c>
      <c r="E78" s="67">
        <v>0.08</v>
      </c>
      <c r="F78" s="67">
        <v>7.6000379945970004E-2</v>
      </c>
      <c r="G78" s="66">
        <f t="shared" ca="1" si="41"/>
        <v>7.6000379945970004E-2</v>
      </c>
      <c r="H78" s="67">
        <v>-1.2897557130979329E-2</v>
      </c>
      <c r="I78" s="66">
        <f t="shared" ca="1" si="42"/>
        <v>-1.2897557130979329E-2</v>
      </c>
      <c r="J78" s="67">
        <v>-0.18832718361891004</v>
      </c>
      <c r="K78" s="66">
        <f t="shared" ca="1" si="43"/>
        <v>-0.18832718361891004</v>
      </c>
      <c r="L78" s="65">
        <f t="shared" ca="1" si="44"/>
        <v>0.19068542309398345</v>
      </c>
      <c r="M78" s="67">
        <v>0.19068542309398345</v>
      </c>
      <c r="N78" s="27"/>
      <c r="O78" s="26">
        <f t="shared" ref="O78:O111" si="52">ROUND((O77-B78+U77+W77+Y77+AA77)*(1+D78),0)</f>
        <v>-115183</v>
      </c>
      <c r="P78" s="26">
        <f t="shared" si="45"/>
        <v>4931</v>
      </c>
      <c r="Q78" s="26">
        <f t="shared" si="46"/>
        <v>5495</v>
      </c>
      <c r="R78" s="26">
        <f t="shared" si="47"/>
        <v>18199</v>
      </c>
      <c r="S78" s="36">
        <f t="shared" si="48"/>
        <v>5200962</v>
      </c>
      <c r="T78" s="73"/>
      <c r="U78" s="78"/>
      <c r="V78" s="78"/>
      <c r="W78" s="26"/>
      <c r="X78" s="26"/>
      <c r="Y78" s="26"/>
      <c r="Z78" s="26"/>
      <c r="AA78" s="26"/>
      <c r="AB78" s="26"/>
      <c r="AC78" s="73"/>
      <c r="AD78" s="37">
        <f t="shared" ref="AD78:AD111" si="53">AD77+1</f>
        <v>66</v>
      </c>
      <c r="AE78" s="6"/>
      <c r="AL78" s="219">
        <f>(1+alloc1*Simulator!E78+alloc2*Simulator!F78+alloc3*Simulator!H78+alloc4*Simulator!J78+alloc5*Simulator!M78)</f>
        <v>1.0452563505159085</v>
      </c>
      <c r="AM78" s="215">
        <f>IF(SUM($AM$13:AM77)&lt;&gt;0,0,IF(O78&lt;0,B78-O77,0))</f>
        <v>0</v>
      </c>
      <c r="AN78" s="12">
        <f t="shared" ref="AN78:AN111" si="54">IF(AM78&lt;&gt;0,A78,0)</f>
        <v>0</v>
      </c>
      <c r="AQ78" s="145"/>
      <c r="AR78" s="145" t="e">
        <f t="shared" si="26"/>
        <v>#N/A</v>
      </c>
      <c r="AS78" s="146" t="e">
        <f t="shared" si="49"/>
        <v>#N/A</v>
      </c>
      <c r="AT78" s="220" t="e">
        <f>IF(AQ78&lt;&gt;0,IF((AT77-B78)*(1+alloc1*Simulator!E78+alloc2*Simulator!F78+alloc3*Simulator!H78+alloc4*Simulator!J78+alloc5*Simulator!M78)&lt;0,NA(),(AT77-B78)*(1+alloc1*Simulator!E78+alloc2*Simulator!F78+alloc3*Simulator!H78+alloc4*Simulator!J78+alloc5*Simulator!M78)),NA())</f>
        <v>#N/A</v>
      </c>
      <c r="AU78" s="219" t="e">
        <f t="shared" si="50"/>
        <v>#N/A</v>
      </c>
      <c r="AV78" s="83">
        <f t="shared" ref="AV78:AV111" si="55">AV77*(1+F78)</f>
        <v>331.60474171416843</v>
      </c>
      <c r="AW78" s="85" t="e">
        <f t="shared" ref="AW78:AW111" si="56">(AV78/$AV$12)^(1/AQ78)-1</f>
        <v>#DIV/0!</v>
      </c>
      <c r="AX78" s="1">
        <f t="shared" ref="AX78:AX111" si="57">AX77*(1+H78)</f>
        <v>190.00481166476081</v>
      </c>
      <c r="AY78" s="85" t="e">
        <f t="shared" ref="AY78:AY111" si="58">(AX78/$AX$12)^(1/AQ78)-1</f>
        <v>#DIV/0!</v>
      </c>
      <c r="AZ78" s="1">
        <f t="shared" ref="AZ78:AZ111" si="59">AZ77*(1+J78)</f>
        <v>1141.3958479776215</v>
      </c>
      <c r="BA78" s="85" t="e">
        <f t="shared" ref="BA78:BA111" si="60">(AZ78/$AZ$12)^(1/AQ78)-1</f>
        <v>#DIV/0!</v>
      </c>
      <c r="BB78" s="1">
        <f t="shared" ref="BB78:BB111" si="61">BB77*(1+M78)</f>
        <v>341476.24315122387</v>
      </c>
      <c r="BC78" s="85" t="e">
        <f t="shared" ref="BC78:BC111" si="62">(BB78/$BB$12)^(1/AQ78)-1</f>
        <v>#DIV/0!</v>
      </c>
    </row>
    <row r="79" spans="1:55" hidden="1" x14ac:dyDescent="0.25">
      <c r="A79" s="37">
        <f t="shared" si="51"/>
        <v>67</v>
      </c>
      <c r="B79" s="142">
        <f t="shared" si="39"/>
        <v>1928.1868122025555</v>
      </c>
      <c r="C79" s="27"/>
      <c r="D79" s="65">
        <f t="shared" si="40"/>
        <v>0.08</v>
      </c>
      <c r="E79" s="67">
        <v>0.08</v>
      </c>
      <c r="F79" s="67">
        <v>3.4003065268837833E-2</v>
      </c>
      <c r="G79" s="66">
        <f t="shared" ca="1" si="41"/>
        <v>3.4003065268837833E-2</v>
      </c>
      <c r="H79" s="67">
        <v>0.1593531971530408</v>
      </c>
      <c r="I79" s="66">
        <f t="shared" ca="1" si="42"/>
        <v>0.1593531971530408</v>
      </c>
      <c r="J79" s="67">
        <v>0.20488371658864923</v>
      </c>
      <c r="K79" s="66">
        <f t="shared" ca="1" si="43"/>
        <v>0.20488371658864923</v>
      </c>
      <c r="L79" s="65">
        <f t="shared" ca="1" si="44"/>
        <v>-8.9274114064522347E-2</v>
      </c>
      <c r="M79" s="67">
        <v>-8.9274114064522347E-2</v>
      </c>
      <c r="N79" s="27"/>
      <c r="O79" s="26">
        <f t="shared" si="52"/>
        <v>-126480</v>
      </c>
      <c r="P79" s="26">
        <f t="shared" si="45"/>
        <v>5099</v>
      </c>
      <c r="Q79" s="26">
        <f t="shared" si="46"/>
        <v>6371</v>
      </c>
      <c r="R79" s="26">
        <f t="shared" si="47"/>
        <v>21928</v>
      </c>
      <c r="S79" s="36">
        <f t="shared" si="48"/>
        <v>4736651</v>
      </c>
      <c r="T79" s="73"/>
      <c r="U79" s="78"/>
      <c r="V79" s="78"/>
      <c r="W79" s="26"/>
      <c r="X79" s="26"/>
      <c r="Y79" s="26"/>
      <c r="Z79" s="26"/>
      <c r="AA79" s="26"/>
      <c r="AB79" s="26"/>
      <c r="AC79" s="73"/>
      <c r="AD79" s="37">
        <f t="shared" si="53"/>
        <v>67</v>
      </c>
      <c r="AE79" s="6"/>
      <c r="AL79" s="219">
        <f>(1+alloc1*Simulator!E79+alloc2*Simulator!F79+alloc3*Simulator!H79+alloc4*Simulator!J79+alloc5*Simulator!M79)</f>
        <v>1.0868319062099046</v>
      </c>
      <c r="AM79" s="215">
        <f>IF(SUM($AM$13:AM78)&lt;&gt;0,0,IF(O79&lt;0,B79-O78,0))</f>
        <v>0</v>
      </c>
      <c r="AN79" s="12">
        <f t="shared" si="54"/>
        <v>0</v>
      </c>
      <c r="AQ79" s="145"/>
      <c r="AR79" s="145" t="e">
        <f t="shared" si="26"/>
        <v>#N/A</v>
      </c>
      <c r="AS79" s="146" t="e">
        <f t="shared" si="49"/>
        <v>#N/A</v>
      </c>
      <c r="AT79" s="220" t="e">
        <f>IF(AQ79&lt;&gt;0,IF((AT78-B79)*(1+alloc1*Simulator!E79+alloc2*Simulator!F79+alloc3*Simulator!H79+alloc4*Simulator!J79+alloc5*Simulator!M79)&lt;0,NA(),(AT78-B79)*(1+alloc1*Simulator!E79+alloc2*Simulator!F79+alloc3*Simulator!H79+alloc4*Simulator!J79+alloc5*Simulator!M79)),NA())</f>
        <v>#N/A</v>
      </c>
      <c r="AU79" s="219" t="e">
        <f t="shared" si="50"/>
        <v>#N/A</v>
      </c>
      <c r="AV79" s="83">
        <f t="shared" si="55"/>
        <v>342.88031939013143</v>
      </c>
      <c r="AW79" s="85" t="e">
        <f t="shared" si="56"/>
        <v>#DIV/0!</v>
      </c>
      <c r="AX79" s="1">
        <f t="shared" si="57"/>
        <v>220.28268587800184</v>
      </c>
      <c r="AY79" s="85" t="e">
        <f t="shared" si="58"/>
        <v>#DIV/0!</v>
      </c>
      <c r="AZ79" s="1">
        <f t="shared" si="59"/>
        <v>1375.2492714101295</v>
      </c>
      <c r="BA79" s="85" t="e">
        <f t="shared" si="60"/>
        <v>#DIV/0!</v>
      </c>
      <c r="BB79" s="1">
        <f t="shared" si="61"/>
        <v>310991.25406981696</v>
      </c>
      <c r="BC79" s="85" t="e">
        <f t="shared" si="62"/>
        <v>#DIV/0!</v>
      </c>
    </row>
    <row r="80" spans="1:55" hidden="1" x14ac:dyDescent="0.25">
      <c r="A80" s="37">
        <f t="shared" si="51"/>
        <v>68</v>
      </c>
      <c r="B80" s="142">
        <f t="shared" si="39"/>
        <v>2082.4417571787599</v>
      </c>
      <c r="C80" s="27"/>
      <c r="D80" s="65">
        <f t="shared" si="40"/>
        <v>0.08</v>
      </c>
      <c r="E80" s="67">
        <v>0.08</v>
      </c>
      <c r="F80" s="67">
        <v>8.046699955913264E-2</v>
      </c>
      <c r="G80" s="66">
        <f t="shared" ca="1" si="41"/>
        <v>8.046699955913264E-2</v>
      </c>
      <c r="H80" s="67">
        <v>-5.8279769705414763E-2</v>
      </c>
      <c r="I80" s="66">
        <f t="shared" ca="1" si="42"/>
        <v>-5.8279769705414763E-2</v>
      </c>
      <c r="J80" s="67">
        <v>-4.5412271653791247E-2</v>
      </c>
      <c r="K80" s="66">
        <f t="shared" ca="1" si="43"/>
        <v>-4.5412271653791247E-2</v>
      </c>
      <c r="L80" s="65">
        <f t="shared" ca="1" si="44"/>
        <v>-0.12025410929156463</v>
      </c>
      <c r="M80" s="67">
        <v>-0.12025410929156463</v>
      </c>
      <c r="N80" s="27"/>
      <c r="O80" s="26">
        <f t="shared" si="52"/>
        <v>-138847</v>
      </c>
      <c r="P80" s="26">
        <f t="shared" si="45"/>
        <v>5509</v>
      </c>
      <c r="Q80" s="26">
        <f t="shared" si="46"/>
        <v>6000</v>
      </c>
      <c r="R80" s="26">
        <f t="shared" si="47"/>
        <v>20932</v>
      </c>
      <c r="S80" s="36">
        <f t="shared" si="48"/>
        <v>4167049</v>
      </c>
      <c r="T80" s="73"/>
      <c r="U80" s="78"/>
      <c r="V80" s="78"/>
      <c r="W80" s="26"/>
      <c r="X80" s="26"/>
      <c r="Y80" s="26"/>
      <c r="Z80" s="26"/>
      <c r="AA80" s="26"/>
      <c r="AB80" s="26"/>
      <c r="AC80" s="73"/>
      <c r="AD80" s="37">
        <f t="shared" si="53"/>
        <v>68</v>
      </c>
      <c r="AE80" s="6"/>
      <c r="AL80" s="219">
        <f>(1+alloc1*Simulator!E80+alloc2*Simulator!F80+alloc3*Simulator!H80+alloc4*Simulator!J80+alloc5*Simulator!M80)</f>
        <v>1.0198241079202948</v>
      </c>
      <c r="AM80" s="215">
        <f>IF(SUM($AM$13:AM79)&lt;&gt;0,0,IF(O80&lt;0,B80-O79,0))</f>
        <v>0</v>
      </c>
      <c r="AN80" s="12">
        <f t="shared" si="54"/>
        <v>0</v>
      </c>
      <c r="AQ80" s="145"/>
      <c r="AR80" s="145" t="e">
        <f t="shared" si="26"/>
        <v>#N/A</v>
      </c>
      <c r="AS80" s="146" t="e">
        <f t="shared" si="49"/>
        <v>#N/A</v>
      </c>
      <c r="AT80" s="220" t="e">
        <f>IF(AQ80&lt;&gt;0,IF((AT79-B80)*(1+alloc1*Simulator!E80+alloc2*Simulator!F80+alloc3*Simulator!H80+alloc4*Simulator!J80+alloc5*Simulator!M80)&lt;0,NA(),(AT79-B80)*(1+alloc1*Simulator!E80+alloc2*Simulator!F80+alloc3*Simulator!H80+alloc4*Simulator!J80+alloc5*Simulator!M80)),NA())</f>
        <v>#N/A</v>
      </c>
      <c r="AU80" s="219" t="e">
        <f t="shared" si="50"/>
        <v>#N/A</v>
      </c>
      <c r="AV80" s="83">
        <f t="shared" si="55"/>
        <v>370.4708698993324</v>
      </c>
      <c r="AW80" s="85" t="e">
        <f t="shared" si="56"/>
        <v>#DIV/0!</v>
      </c>
      <c r="AX80" s="1">
        <f t="shared" si="57"/>
        <v>207.4446616749417</v>
      </c>
      <c r="AY80" s="85" t="e">
        <f t="shared" si="58"/>
        <v>#DIV/0!</v>
      </c>
      <c r="AZ80" s="1">
        <f t="shared" si="59"/>
        <v>1312.7960779051741</v>
      </c>
      <c r="BA80" s="85" t="e">
        <f t="shared" si="60"/>
        <v>#DIV/0!</v>
      </c>
      <c r="BB80" s="1">
        <f t="shared" si="61"/>
        <v>273593.27781418443</v>
      </c>
      <c r="BC80" s="85" t="e">
        <f t="shared" si="62"/>
        <v>#DIV/0!</v>
      </c>
    </row>
    <row r="81" spans="1:55" hidden="1" x14ac:dyDescent="0.25">
      <c r="A81" s="37">
        <f t="shared" si="51"/>
        <v>69</v>
      </c>
      <c r="B81" s="142">
        <f t="shared" si="39"/>
        <v>2249.0370977530611</v>
      </c>
      <c r="C81" s="27"/>
      <c r="D81" s="65">
        <f t="shared" si="40"/>
        <v>0.08</v>
      </c>
      <c r="E81" s="67">
        <v>0.08</v>
      </c>
      <c r="F81" s="67">
        <v>0.10830963876915159</v>
      </c>
      <c r="G81" s="66">
        <f t="shared" ca="1" si="41"/>
        <v>0.10830963876915159</v>
      </c>
      <c r="H81" s="67">
        <v>0.11330766801823058</v>
      </c>
      <c r="I81" s="66">
        <f t="shared" ca="1" si="42"/>
        <v>0.11330766801823058</v>
      </c>
      <c r="J81" s="67">
        <v>0.14660320526087306</v>
      </c>
      <c r="K81" s="66">
        <f t="shared" ca="1" si="43"/>
        <v>0.14660320526087306</v>
      </c>
      <c r="L81" s="65">
        <f t="shared" ca="1" si="44"/>
        <v>0.19927475289151447</v>
      </c>
      <c r="M81" s="67">
        <v>0.19927475289151447</v>
      </c>
      <c r="N81" s="27"/>
      <c r="O81" s="26">
        <f t="shared" si="52"/>
        <v>-152384</v>
      </c>
      <c r="P81" s="26">
        <f t="shared" si="45"/>
        <v>6106</v>
      </c>
      <c r="Q81" s="26">
        <f t="shared" si="46"/>
        <v>6680</v>
      </c>
      <c r="R81" s="26">
        <f t="shared" si="47"/>
        <v>24001</v>
      </c>
      <c r="S81" s="36">
        <f t="shared" si="48"/>
        <v>4997437</v>
      </c>
      <c r="T81" s="73"/>
      <c r="U81" s="78"/>
      <c r="V81" s="78"/>
      <c r="W81" s="26"/>
      <c r="X81" s="26"/>
      <c r="Y81" s="26"/>
      <c r="Z81" s="26"/>
      <c r="AA81" s="26"/>
      <c r="AB81" s="26"/>
      <c r="AC81" s="73"/>
      <c r="AD81" s="37">
        <f t="shared" si="53"/>
        <v>69</v>
      </c>
      <c r="AE81" s="6"/>
      <c r="AL81" s="219">
        <f>(1+alloc1*Simulator!E81+alloc2*Simulator!F81+alloc3*Simulator!H81+alloc4*Simulator!J81+alloc5*Simulator!M81)</f>
        <v>1.1080802932958</v>
      </c>
      <c r="AM81" s="215">
        <f>IF(SUM($AM$13:AM80)&lt;&gt;0,0,IF(O81&lt;0,B81-O80,0))</f>
        <v>0</v>
      </c>
      <c r="AN81" s="12">
        <f t="shared" si="54"/>
        <v>0</v>
      </c>
      <c r="AQ81" s="145"/>
      <c r="AR81" s="145" t="e">
        <f t="shared" si="26"/>
        <v>#N/A</v>
      </c>
      <c r="AS81" s="146" t="e">
        <f t="shared" si="49"/>
        <v>#N/A</v>
      </c>
      <c r="AT81" s="220" t="e">
        <f>IF(AQ81&lt;&gt;0,IF((AT80-B81)*(1+alloc1*Simulator!E81+alloc2*Simulator!F81+alloc3*Simulator!H81+alloc4*Simulator!J81+alloc5*Simulator!M81)&lt;0,NA(),(AT80-B81)*(1+alloc1*Simulator!E81+alloc2*Simulator!F81+alloc3*Simulator!H81+alloc4*Simulator!J81+alloc5*Simulator!M81)),NA())</f>
        <v>#N/A</v>
      </c>
      <c r="AU81" s="219" t="e">
        <f t="shared" si="50"/>
        <v>#N/A</v>
      </c>
      <c r="AV81" s="83">
        <f t="shared" si="55"/>
        <v>410.59643599262245</v>
      </c>
      <c r="AW81" s="85" t="e">
        <f t="shared" si="56"/>
        <v>#DIV/0!</v>
      </c>
      <c r="AX81" s="1">
        <f t="shared" si="57"/>
        <v>230.94973253216014</v>
      </c>
      <c r="AY81" s="85" t="e">
        <f t="shared" si="58"/>
        <v>#DIV/0!</v>
      </c>
      <c r="AZ81" s="1">
        <f t="shared" si="59"/>
        <v>1505.2561907799754</v>
      </c>
      <c r="BA81" s="85" t="e">
        <f t="shared" si="60"/>
        <v>#DIV/0!</v>
      </c>
      <c r="BB81" s="1">
        <f t="shared" si="61"/>
        <v>328113.51064338547</v>
      </c>
      <c r="BC81" s="85" t="e">
        <f t="shared" si="62"/>
        <v>#DIV/0!</v>
      </c>
    </row>
    <row r="82" spans="1:55" hidden="1" x14ac:dyDescent="0.25">
      <c r="A82" s="37">
        <f t="shared" si="51"/>
        <v>70</v>
      </c>
      <c r="B82" s="142">
        <f t="shared" si="39"/>
        <v>2428.9600655733057</v>
      </c>
      <c r="C82" s="27"/>
      <c r="D82" s="65">
        <f t="shared" si="40"/>
        <v>0.08</v>
      </c>
      <c r="E82" s="67">
        <v>0.08</v>
      </c>
      <c r="F82" s="67">
        <v>4.6703319979988257E-2</v>
      </c>
      <c r="G82" s="66">
        <f t="shared" ca="1" si="41"/>
        <v>4.6703319979988257E-2</v>
      </c>
      <c r="H82" s="67">
        <v>-1.2812563920365963E-2</v>
      </c>
      <c r="I82" s="66">
        <f t="shared" ca="1" si="42"/>
        <v>-1.2812563920365963E-2</v>
      </c>
      <c r="J82" s="67">
        <v>-0.17498394238305309</v>
      </c>
      <c r="K82" s="66">
        <f t="shared" ca="1" si="43"/>
        <v>-0.17498394238305309</v>
      </c>
      <c r="L82" s="65">
        <f t="shared" ca="1" si="44"/>
        <v>0.5796250651766699</v>
      </c>
      <c r="M82" s="67">
        <v>0.5796250651766699</v>
      </c>
      <c r="N82" s="27"/>
      <c r="O82" s="26">
        <f t="shared" si="52"/>
        <v>-167198</v>
      </c>
      <c r="P82" s="26">
        <f t="shared" si="45"/>
        <v>6391</v>
      </c>
      <c r="Q82" s="26">
        <f t="shared" si="46"/>
        <v>6594</v>
      </c>
      <c r="R82" s="26">
        <f t="shared" si="47"/>
        <v>19801</v>
      </c>
      <c r="S82" s="36">
        <f t="shared" si="48"/>
        <v>7894077</v>
      </c>
      <c r="T82" s="73"/>
      <c r="U82" s="78"/>
      <c r="V82" s="78"/>
      <c r="W82" s="26"/>
      <c r="X82" s="26"/>
      <c r="Y82" s="26"/>
      <c r="Z82" s="26"/>
      <c r="AA82" s="26"/>
      <c r="AB82" s="26"/>
      <c r="AC82" s="73"/>
      <c r="AD82" s="37">
        <f t="shared" si="53"/>
        <v>70</v>
      </c>
      <c r="AE82" s="6"/>
      <c r="AL82" s="219">
        <f>(1+alloc1*Simulator!E82+alloc2*Simulator!F82+alloc3*Simulator!H82+alloc4*Simulator!J82+alloc5*Simulator!M82)</f>
        <v>1.0825719314932873</v>
      </c>
      <c r="AM82" s="215">
        <f>IF(SUM($AM$13:AM81)&lt;&gt;0,0,IF(O82&lt;0,B82-O81,0))</f>
        <v>0</v>
      </c>
      <c r="AN82" s="12">
        <f t="shared" si="54"/>
        <v>0</v>
      </c>
      <c r="AQ82" s="145"/>
      <c r="AR82" s="145" t="e">
        <f t="shared" si="26"/>
        <v>#N/A</v>
      </c>
      <c r="AS82" s="146" t="e">
        <f t="shared" si="49"/>
        <v>#N/A</v>
      </c>
      <c r="AT82" s="220" t="e">
        <f>IF(AQ82&lt;&gt;0,IF((AT81-B82)*(1+alloc1*Simulator!E82+alloc2*Simulator!F82+alloc3*Simulator!H82+alloc4*Simulator!J82+alloc5*Simulator!M82)&lt;0,NA(),(AT81-B82)*(1+alloc1*Simulator!E82+alloc2*Simulator!F82+alloc3*Simulator!H82+alloc4*Simulator!J82+alloc5*Simulator!M82)),NA())</f>
        <v>#N/A</v>
      </c>
      <c r="AU82" s="219" t="e">
        <f t="shared" si="50"/>
        <v>#N/A</v>
      </c>
      <c r="AV82" s="83">
        <f t="shared" si="55"/>
        <v>429.77265272542866</v>
      </c>
      <c r="AW82" s="85" t="e">
        <f t="shared" si="56"/>
        <v>#DIV/0!</v>
      </c>
      <c r="AX82" s="1">
        <f t="shared" si="57"/>
        <v>227.9906743217004</v>
      </c>
      <c r="AY82" s="85" t="e">
        <f t="shared" si="58"/>
        <v>#DIV/0!</v>
      </c>
      <c r="AZ82" s="1">
        <f t="shared" si="59"/>
        <v>1241.8605282207984</v>
      </c>
      <c r="BA82" s="85" t="e">
        <f t="shared" si="60"/>
        <v>#DIV/0!</v>
      </c>
      <c r="BB82" s="1">
        <f t="shared" si="61"/>
        <v>518296.32563540374</v>
      </c>
      <c r="BC82" s="85" t="e">
        <f t="shared" si="62"/>
        <v>#DIV/0!</v>
      </c>
    </row>
    <row r="83" spans="1:55" hidden="1" x14ac:dyDescent="0.25">
      <c r="A83" s="37">
        <f t="shared" si="51"/>
        <v>71</v>
      </c>
      <c r="B83" s="142">
        <f t="shared" si="39"/>
        <v>2623.2768708191707</v>
      </c>
      <c r="C83" s="27"/>
      <c r="D83" s="65">
        <f t="shared" si="40"/>
        <v>0.08</v>
      </c>
      <c r="E83" s="67">
        <v>0.08</v>
      </c>
      <c r="F83" s="67">
        <v>6.1187456882561865E-2</v>
      </c>
      <c r="G83" s="66">
        <f t="shared" ca="1" si="41"/>
        <v>6.1187456882561865E-2</v>
      </c>
      <c r="H83" s="67">
        <v>8.4385317991381673E-2</v>
      </c>
      <c r="I83" s="66">
        <f t="shared" ca="1" si="42"/>
        <v>8.4385317991381673E-2</v>
      </c>
      <c r="J83" s="67">
        <v>0.15310198278540868</v>
      </c>
      <c r="K83" s="66">
        <f t="shared" ca="1" si="43"/>
        <v>0.15310198278540868</v>
      </c>
      <c r="L83" s="65">
        <f t="shared" ca="1" si="44"/>
        <v>0.23211473902547688</v>
      </c>
      <c r="M83" s="67">
        <v>0.23211473902547688</v>
      </c>
      <c r="N83" s="27"/>
      <c r="O83" s="26">
        <f t="shared" si="52"/>
        <v>-183407</v>
      </c>
      <c r="P83" s="26">
        <f t="shared" si="45"/>
        <v>6782</v>
      </c>
      <c r="Q83" s="26">
        <f t="shared" si="46"/>
        <v>7150</v>
      </c>
      <c r="R83" s="26">
        <f t="shared" si="47"/>
        <v>22833</v>
      </c>
      <c r="S83" s="36">
        <f t="shared" si="48"/>
        <v>9726409</v>
      </c>
      <c r="T83" s="73"/>
      <c r="U83" s="78"/>
      <c r="V83" s="78"/>
      <c r="W83" s="26"/>
      <c r="X83" s="26"/>
      <c r="Y83" s="26"/>
      <c r="Z83" s="26"/>
      <c r="AA83" s="26"/>
      <c r="AB83" s="26"/>
      <c r="AC83" s="73"/>
      <c r="AD83" s="37">
        <f t="shared" si="53"/>
        <v>71</v>
      </c>
      <c r="AE83" s="6"/>
      <c r="AL83" s="219">
        <f>(1+alloc1*Simulator!E83+alloc2*Simulator!F83+alloc3*Simulator!H83+alloc4*Simulator!J83+alloc5*Simulator!M83)</f>
        <v>1.101517481467621</v>
      </c>
      <c r="AM83" s="215">
        <f>IF(SUM($AM$13:AM82)&lt;&gt;0,0,IF(O83&lt;0,B83-O82,0))</f>
        <v>0</v>
      </c>
      <c r="AN83" s="12">
        <f t="shared" si="54"/>
        <v>0</v>
      </c>
      <c r="AQ83" s="145"/>
      <c r="AR83" s="145" t="e">
        <f t="shared" si="26"/>
        <v>#N/A</v>
      </c>
      <c r="AS83" s="146" t="e">
        <f t="shared" si="49"/>
        <v>#N/A</v>
      </c>
      <c r="AT83" s="220" t="e">
        <f>IF(AQ83&lt;&gt;0,IF((AT82-B83)*(1+alloc1*Simulator!E83+alloc2*Simulator!F83+alloc3*Simulator!H83+alloc4*Simulator!J83+alloc5*Simulator!M83)&lt;0,NA(),(AT82-B83)*(1+alloc1*Simulator!E83+alloc2*Simulator!F83+alloc3*Simulator!H83+alloc4*Simulator!J83+alloc5*Simulator!M83)),NA())</f>
        <v>#N/A</v>
      </c>
      <c r="AU83" s="219" t="e">
        <f t="shared" si="50"/>
        <v>#N/A</v>
      </c>
      <c r="AV83" s="83">
        <f t="shared" si="55"/>
        <v>456.06934838337008</v>
      </c>
      <c r="AW83" s="85" t="e">
        <f t="shared" si="56"/>
        <v>#DIV/0!</v>
      </c>
      <c r="AX83" s="1">
        <f t="shared" si="57"/>
        <v>247.2297398734066</v>
      </c>
      <c r="AY83" s="85" t="e">
        <f t="shared" si="58"/>
        <v>#DIV/0!</v>
      </c>
      <c r="AZ83" s="1">
        <f t="shared" si="59"/>
        <v>1431.9918374343376</v>
      </c>
      <c r="BA83" s="85" t="e">
        <f t="shared" si="60"/>
        <v>#DIV/0!</v>
      </c>
      <c r="BB83" s="1">
        <f t="shared" si="61"/>
        <v>638600.54199812911</v>
      </c>
      <c r="BC83" s="85" t="e">
        <f t="shared" si="62"/>
        <v>#DIV/0!</v>
      </c>
    </row>
    <row r="84" spans="1:55" hidden="1" x14ac:dyDescent="0.25">
      <c r="A84" s="37">
        <f t="shared" si="51"/>
        <v>72</v>
      </c>
      <c r="B84" s="142">
        <f t="shared" si="39"/>
        <v>2833.1390204847044</v>
      </c>
      <c r="C84" s="27"/>
      <c r="D84" s="65">
        <f t="shared" si="40"/>
        <v>0.08</v>
      </c>
      <c r="E84" s="67">
        <v>0.08</v>
      </c>
      <c r="F84" s="67">
        <v>0.11589638507527518</v>
      </c>
      <c r="G84" s="66">
        <f t="shared" ca="1" si="41"/>
        <v>0.11589638507527518</v>
      </c>
      <c r="H84" s="67">
        <v>5.6563852000218885E-2</v>
      </c>
      <c r="I84" s="66">
        <f t="shared" ca="1" si="42"/>
        <v>5.6563852000218885E-2</v>
      </c>
      <c r="J84" s="67">
        <v>5.6803040658716039E-2</v>
      </c>
      <c r="K84" s="66">
        <f t="shared" ca="1" si="43"/>
        <v>5.6803040658716039E-2</v>
      </c>
      <c r="L84" s="65">
        <f t="shared" ca="1" si="44"/>
        <v>-6.3766553223443989E-2</v>
      </c>
      <c r="M84" s="67">
        <v>-6.3766553223443989E-2</v>
      </c>
      <c r="N84" s="27"/>
      <c r="O84" s="26">
        <f t="shared" si="52"/>
        <v>-201139</v>
      </c>
      <c r="P84" s="26">
        <f t="shared" si="45"/>
        <v>7568</v>
      </c>
      <c r="Q84" s="26">
        <f t="shared" si="46"/>
        <v>7554</v>
      </c>
      <c r="R84" s="26">
        <f t="shared" si="47"/>
        <v>24130</v>
      </c>
      <c r="S84" s="36">
        <f t="shared" si="48"/>
        <v>9106189</v>
      </c>
      <c r="T84" s="73"/>
      <c r="U84" s="78"/>
      <c r="V84" s="78"/>
      <c r="W84" s="26"/>
      <c r="X84" s="26"/>
      <c r="Y84" s="26"/>
      <c r="Z84" s="26"/>
      <c r="AA84" s="26"/>
      <c r="AB84" s="26"/>
      <c r="AC84" s="73"/>
      <c r="AD84" s="37">
        <f t="shared" si="53"/>
        <v>72</v>
      </c>
      <c r="AE84" s="6"/>
      <c r="AL84" s="219">
        <f>(1+alloc1*Simulator!E84+alloc2*Simulator!F84+alloc3*Simulator!H84+alloc4*Simulator!J84+alloc5*Simulator!M84)</f>
        <v>1.0622060576510985</v>
      </c>
      <c r="AM84" s="215">
        <f>IF(SUM($AM$13:AM83)&lt;&gt;0,0,IF(O84&lt;0,B84-O83,0))</f>
        <v>0</v>
      </c>
      <c r="AN84" s="12">
        <f t="shared" si="54"/>
        <v>0</v>
      </c>
      <c r="AQ84" s="145"/>
      <c r="AR84" s="145" t="e">
        <f t="shared" si="26"/>
        <v>#N/A</v>
      </c>
      <c r="AS84" s="146" t="e">
        <f t="shared" si="49"/>
        <v>#N/A</v>
      </c>
      <c r="AT84" s="220" t="e">
        <f>IF(AQ84&lt;&gt;0,IF((AT83-B84)*(1+alloc1*Simulator!E84+alloc2*Simulator!F84+alloc3*Simulator!H84+alloc4*Simulator!J84+alloc5*Simulator!M84)&lt;0,NA(),(AT83-B84)*(1+alloc1*Simulator!E84+alloc2*Simulator!F84+alloc3*Simulator!H84+alloc4*Simulator!J84+alloc5*Simulator!M84)),NA())</f>
        <v>#N/A</v>
      </c>
      <c r="AU84" s="219" t="e">
        <f t="shared" si="50"/>
        <v>#N/A</v>
      </c>
      <c r="AV84" s="83">
        <f t="shared" si="55"/>
        <v>508.92613720463902</v>
      </c>
      <c r="AW84" s="85" t="e">
        <f t="shared" si="56"/>
        <v>#DIV/0!</v>
      </c>
      <c r="AX84" s="1">
        <f t="shared" si="57"/>
        <v>261.21400628965858</v>
      </c>
      <c r="AY84" s="85" t="e">
        <f t="shared" si="58"/>
        <v>#DIV/0!</v>
      </c>
      <c r="AZ84" s="1">
        <f t="shared" si="59"/>
        <v>1513.33332799907</v>
      </c>
      <c r="BA84" s="85" t="e">
        <f t="shared" si="60"/>
        <v>#DIV/0!</v>
      </c>
      <c r="BB84" s="1">
        <f t="shared" si="61"/>
        <v>597879.1865482853</v>
      </c>
      <c r="BC84" s="85" t="e">
        <f t="shared" si="62"/>
        <v>#DIV/0!</v>
      </c>
    </row>
    <row r="85" spans="1:55" hidden="1" x14ac:dyDescent="0.25">
      <c r="A85" s="37">
        <f t="shared" si="51"/>
        <v>73</v>
      </c>
      <c r="B85" s="142">
        <f t="shared" si="39"/>
        <v>3059.790142123481</v>
      </c>
      <c r="C85" s="27"/>
      <c r="D85" s="65">
        <f t="shared" si="40"/>
        <v>0.08</v>
      </c>
      <c r="E85" s="67">
        <v>0.08</v>
      </c>
      <c r="F85" s="67">
        <v>0.11089065988050022</v>
      </c>
      <c r="G85" s="66">
        <f t="shared" ca="1" si="41"/>
        <v>0.11089065988050022</v>
      </c>
      <c r="H85" s="67">
        <v>0.12277776271388861</v>
      </c>
      <c r="I85" s="66">
        <f t="shared" ca="1" si="42"/>
        <v>0.12277776271388861</v>
      </c>
      <c r="J85" s="67">
        <v>0.37609366614068179</v>
      </c>
      <c r="K85" s="66">
        <f t="shared" ca="1" si="43"/>
        <v>0.37609366614068179</v>
      </c>
      <c r="L85" s="65">
        <f t="shared" ca="1" si="44"/>
        <v>0.39753637901463779</v>
      </c>
      <c r="M85" s="67">
        <v>0.39753637901463779</v>
      </c>
      <c r="N85" s="27"/>
      <c r="O85" s="26">
        <f t="shared" si="52"/>
        <v>-220535</v>
      </c>
      <c r="P85" s="26">
        <f t="shared" si="45"/>
        <v>8407</v>
      </c>
      <c r="Q85" s="26">
        <f t="shared" si="46"/>
        <v>8481</v>
      </c>
      <c r="R85" s="26">
        <f t="shared" si="47"/>
        <v>33205</v>
      </c>
      <c r="S85" s="36">
        <f t="shared" si="48"/>
        <v>12726230</v>
      </c>
      <c r="T85" s="73"/>
      <c r="U85" s="78"/>
      <c r="V85" s="78"/>
      <c r="W85" s="26"/>
      <c r="X85" s="26"/>
      <c r="Y85" s="26"/>
      <c r="Z85" s="26"/>
      <c r="AA85" s="26"/>
      <c r="AB85" s="26"/>
      <c r="AC85" s="73"/>
      <c r="AD85" s="37">
        <f t="shared" si="53"/>
        <v>73</v>
      </c>
      <c r="AE85" s="6"/>
      <c r="AL85" s="219">
        <f>(1+alloc1*Simulator!E85+alloc2*Simulator!F85+alloc3*Simulator!H85+alloc4*Simulator!J85+alloc5*Simulator!M85)</f>
        <v>1.1530076230463597</v>
      </c>
      <c r="AM85" s="215">
        <f>IF(SUM($AM$13:AM84)&lt;&gt;0,0,IF(O85&lt;0,B85-O84,0))</f>
        <v>0</v>
      </c>
      <c r="AN85" s="12">
        <f t="shared" si="54"/>
        <v>0</v>
      </c>
      <c r="AQ85" s="145"/>
      <c r="AR85" s="145" t="e">
        <f t="shared" si="26"/>
        <v>#N/A</v>
      </c>
      <c r="AS85" s="146" t="e">
        <f t="shared" si="49"/>
        <v>#N/A</v>
      </c>
      <c r="AT85" s="220" t="e">
        <f>IF(AQ85&lt;&gt;0,IF((AT84-B85)*(1+alloc1*Simulator!E85+alloc2*Simulator!F85+alloc3*Simulator!H85+alloc4*Simulator!J85+alloc5*Simulator!M85)&lt;0,NA(),(AT84-B85)*(1+alloc1*Simulator!E85+alloc2*Simulator!F85+alloc3*Simulator!H85+alloc4*Simulator!J85+alloc5*Simulator!M85)),NA())</f>
        <v>#N/A</v>
      </c>
      <c r="AU85" s="219" t="e">
        <f t="shared" si="50"/>
        <v>#N/A</v>
      </c>
      <c r="AV85" s="83">
        <f t="shared" si="55"/>
        <v>565.36129238969545</v>
      </c>
      <c r="AW85" s="85" t="e">
        <f t="shared" si="56"/>
        <v>#DIV/0!</v>
      </c>
      <c r="AX85" s="1">
        <f t="shared" si="57"/>
        <v>293.28527757143451</v>
      </c>
      <c r="AY85" s="85" t="e">
        <f t="shared" si="58"/>
        <v>#DIV/0!</v>
      </c>
      <c r="AZ85" s="1">
        <f t="shared" si="59"/>
        <v>2082.4884074191191</v>
      </c>
      <c r="BA85" s="85" t="e">
        <f t="shared" si="60"/>
        <v>#DIV/0!</v>
      </c>
      <c r="BB85" s="1">
        <f t="shared" si="61"/>
        <v>835557.91345690773</v>
      </c>
      <c r="BC85" s="85" t="e">
        <f t="shared" si="62"/>
        <v>#DIV/0!</v>
      </c>
    </row>
    <row r="86" spans="1:55" hidden="1" x14ac:dyDescent="0.25">
      <c r="A86" s="37">
        <f t="shared" si="51"/>
        <v>74</v>
      </c>
      <c r="B86" s="142">
        <f t="shared" si="39"/>
        <v>3304.5733534933597</v>
      </c>
      <c r="C86" s="27"/>
      <c r="D86" s="65">
        <f t="shared" si="40"/>
        <v>0.08</v>
      </c>
      <c r="E86" s="67">
        <v>0.08</v>
      </c>
      <c r="F86" s="67">
        <v>0.1000403178733331</v>
      </c>
      <c r="G86" s="66">
        <f t="shared" ca="1" si="41"/>
        <v>0.1000403178733331</v>
      </c>
      <c r="H86" s="67">
        <v>4.9261414217557857E-2</v>
      </c>
      <c r="I86" s="66">
        <f t="shared" ca="1" si="42"/>
        <v>4.9261414217557857E-2</v>
      </c>
      <c r="J86" s="67">
        <v>-3.02326825426813E-2</v>
      </c>
      <c r="K86" s="66">
        <f t="shared" ca="1" si="43"/>
        <v>-3.02326825426813E-2</v>
      </c>
      <c r="L86" s="65">
        <f t="shared" ca="1" si="44"/>
        <v>6.3127539559614046E-2</v>
      </c>
      <c r="M86" s="67">
        <v>6.3127539559614046E-2</v>
      </c>
      <c r="N86" s="27"/>
      <c r="O86" s="26">
        <f t="shared" si="52"/>
        <v>-241747</v>
      </c>
      <c r="P86" s="26">
        <f t="shared" si="45"/>
        <v>9248</v>
      </c>
      <c r="Q86" s="26">
        <f t="shared" si="46"/>
        <v>8899</v>
      </c>
      <c r="R86" s="26">
        <f t="shared" si="47"/>
        <v>32201</v>
      </c>
      <c r="S86" s="36">
        <f t="shared" si="48"/>
        <v>13529606</v>
      </c>
      <c r="T86" s="73"/>
      <c r="U86" s="78"/>
      <c r="V86" s="78"/>
      <c r="W86" s="26"/>
      <c r="X86" s="26"/>
      <c r="Y86" s="26"/>
      <c r="Z86" s="26"/>
      <c r="AA86" s="26"/>
      <c r="AB86" s="26"/>
      <c r="AC86" s="73"/>
      <c r="AD86" s="37">
        <f t="shared" si="53"/>
        <v>74</v>
      </c>
      <c r="AE86" s="6"/>
      <c r="AL86" s="219">
        <f>(1+alloc1*Simulator!E86+alloc2*Simulator!F86+alloc3*Simulator!H86+alloc4*Simulator!J86+alloc5*Simulator!M86)</f>
        <v>1.063145800332538</v>
      </c>
      <c r="AM86" s="215">
        <f>IF(SUM($AM$13:AM85)&lt;&gt;0,0,IF(O86&lt;0,B86-O85,0))</f>
        <v>0</v>
      </c>
      <c r="AN86" s="12">
        <f t="shared" si="54"/>
        <v>0</v>
      </c>
      <c r="AQ86" s="145"/>
      <c r="AR86" s="145" t="e">
        <f t="shared" si="26"/>
        <v>#N/A</v>
      </c>
      <c r="AS86" s="146" t="e">
        <f t="shared" si="49"/>
        <v>#N/A</v>
      </c>
      <c r="AT86" s="220" t="e">
        <f>IF(AQ86&lt;&gt;0,IF((AT85-B86)*(1+alloc1*Simulator!E86+alloc2*Simulator!F86+alloc3*Simulator!H86+alloc4*Simulator!J86+alloc5*Simulator!M86)&lt;0,NA(),(AT85-B86)*(1+alloc1*Simulator!E86+alloc2*Simulator!F86+alloc3*Simulator!H86+alloc4*Simulator!J86+alloc5*Simulator!M86)),NA())</f>
        <v>#N/A</v>
      </c>
      <c r="AU86" s="219" t="e">
        <f t="shared" si="50"/>
        <v>#N/A</v>
      </c>
      <c r="AV86" s="83">
        <f t="shared" si="55"/>
        <v>621.92021579363904</v>
      </c>
      <c r="AW86" s="85" t="e">
        <f t="shared" si="56"/>
        <v>#DIV/0!</v>
      </c>
      <c r="AX86" s="1">
        <f t="shared" si="57"/>
        <v>307.73292511379236</v>
      </c>
      <c r="AY86" s="85" t="e">
        <f t="shared" si="58"/>
        <v>#DIV/0!</v>
      </c>
      <c r="AZ86" s="1">
        <f t="shared" si="59"/>
        <v>2019.529196498803</v>
      </c>
      <c r="BA86" s="85" t="e">
        <f t="shared" si="60"/>
        <v>#DIV/0!</v>
      </c>
      <c r="BB86" s="1">
        <f t="shared" si="61"/>
        <v>888304.62869300728</v>
      </c>
      <c r="BC86" s="85" t="e">
        <f t="shared" si="62"/>
        <v>#DIV/0!</v>
      </c>
    </row>
    <row r="87" spans="1:55" hidden="1" x14ac:dyDescent="0.25">
      <c r="A87" s="37">
        <f t="shared" si="51"/>
        <v>75</v>
      </c>
      <c r="B87" s="142">
        <f t="shared" si="39"/>
        <v>3568.9392217728287</v>
      </c>
      <c r="C87" s="27"/>
      <c r="D87" s="65">
        <f t="shared" si="40"/>
        <v>0.08</v>
      </c>
      <c r="E87" s="67">
        <v>0.08</v>
      </c>
      <c r="F87" s="67">
        <v>0.1073993548772007</v>
      </c>
      <c r="G87" s="66">
        <f t="shared" ca="1" si="41"/>
        <v>0.1073993548772007</v>
      </c>
      <c r="H87" s="67">
        <v>0.12766166563671719</v>
      </c>
      <c r="I87" s="66">
        <f t="shared" ca="1" si="42"/>
        <v>0.12766166563671719</v>
      </c>
      <c r="J87" s="67">
        <v>4.9825057175906143E-2</v>
      </c>
      <c r="K87" s="66">
        <f t="shared" ca="1" si="43"/>
        <v>4.9825057175906143E-2</v>
      </c>
      <c r="L87" s="65">
        <f t="shared" ca="1" si="44"/>
        <v>-0.18008159031121165</v>
      </c>
      <c r="M87" s="67">
        <v>-0.18008159031121165</v>
      </c>
      <c r="N87" s="27"/>
      <c r="O87" s="26">
        <f t="shared" si="52"/>
        <v>-264941</v>
      </c>
      <c r="P87" s="26">
        <f t="shared" si="45"/>
        <v>10241</v>
      </c>
      <c r="Q87" s="26">
        <f t="shared" si="46"/>
        <v>10035</v>
      </c>
      <c r="R87" s="26">
        <f t="shared" si="47"/>
        <v>33805</v>
      </c>
      <c r="S87" s="36">
        <f t="shared" si="48"/>
        <v>11093173</v>
      </c>
      <c r="T87" s="73"/>
      <c r="U87" s="78"/>
      <c r="V87" s="78"/>
      <c r="W87" s="26"/>
      <c r="X87" s="26"/>
      <c r="Y87" s="26"/>
      <c r="Z87" s="26"/>
      <c r="AA87" s="26"/>
      <c r="AB87" s="26"/>
      <c r="AC87" s="73"/>
      <c r="AD87" s="37">
        <f t="shared" si="53"/>
        <v>75</v>
      </c>
      <c r="AE87" s="6"/>
      <c r="AL87" s="219">
        <f>(1+alloc1*Simulator!E87+alloc2*Simulator!F87+alloc3*Simulator!H87+alloc4*Simulator!J87+alloc5*Simulator!M87)</f>
        <v>1.0632466153015327</v>
      </c>
      <c r="AM87" s="215">
        <f>IF(SUM($AM$13:AM86)&lt;&gt;0,0,IF(O87&lt;0,B87-O86,0))</f>
        <v>0</v>
      </c>
      <c r="AN87" s="12">
        <f t="shared" si="54"/>
        <v>0</v>
      </c>
      <c r="AQ87" s="145"/>
      <c r="AR87" s="145" t="e">
        <f t="shared" si="26"/>
        <v>#N/A</v>
      </c>
      <c r="AS87" s="146" t="e">
        <f t="shared" si="49"/>
        <v>#N/A</v>
      </c>
      <c r="AT87" s="220" t="e">
        <f>IF(AQ87&lt;&gt;0,IF((AT86-B87)*(1+alloc1*Simulator!E87+alloc2*Simulator!F87+alloc3*Simulator!H87+alloc4*Simulator!J87+alloc5*Simulator!M87)&lt;0,NA(),(AT86-B87)*(1+alloc1*Simulator!E87+alloc2*Simulator!F87+alloc3*Simulator!H87+alloc4*Simulator!J87+alloc5*Simulator!M87)),NA())</f>
        <v>#N/A</v>
      </c>
      <c r="AU87" s="219" t="e">
        <f t="shared" si="50"/>
        <v>#N/A</v>
      </c>
      <c r="AV87" s="83">
        <f t="shared" si="55"/>
        <v>688.71404575496535</v>
      </c>
      <c r="AW87" s="85" t="e">
        <f t="shared" si="56"/>
        <v>#DIV/0!</v>
      </c>
      <c r="AX87" s="1">
        <f t="shared" si="57"/>
        <v>347.01862290507825</v>
      </c>
      <c r="AY87" s="85" t="e">
        <f t="shared" si="58"/>
        <v>#DIV/0!</v>
      </c>
      <c r="AZ87" s="1">
        <f t="shared" si="59"/>
        <v>2120.1523541827678</v>
      </c>
      <c r="BA87" s="85" t="e">
        <f t="shared" si="60"/>
        <v>#DIV/0!</v>
      </c>
      <c r="BB87" s="1">
        <f t="shared" si="61"/>
        <v>728337.31847716018</v>
      </c>
      <c r="BC87" s="85" t="e">
        <f t="shared" si="62"/>
        <v>#DIV/0!</v>
      </c>
    </row>
    <row r="88" spans="1:55" hidden="1" x14ac:dyDescent="0.25">
      <c r="A88" s="37">
        <f t="shared" si="51"/>
        <v>76</v>
      </c>
      <c r="B88" s="142">
        <f t="shared" si="39"/>
        <v>3854.4543595146547</v>
      </c>
      <c r="C88" s="27"/>
      <c r="D88" s="65">
        <f t="shared" si="40"/>
        <v>0.08</v>
      </c>
      <c r="E88" s="67">
        <v>0.08</v>
      </c>
      <c r="F88" s="67">
        <v>6.6407998798018814E-2</v>
      </c>
      <c r="G88" s="66">
        <f t="shared" ca="1" si="41"/>
        <v>6.6407998798018814E-2</v>
      </c>
      <c r="H88" s="67">
        <v>0.13262263040587952</v>
      </c>
      <c r="I88" s="66">
        <f t="shared" ca="1" si="42"/>
        <v>0.13262263040587952</v>
      </c>
      <c r="J88" s="67">
        <v>-7.6661445216146956E-2</v>
      </c>
      <c r="K88" s="66">
        <f t="shared" ca="1" si="43"/>
        <v>-7.6661445216146956E-2</v>
      </c>
      <c r="L88" s="65">
        <f t="shared" ca="1" si="44"/>
        <v>-0.34519393373259011</v>
      </c>
      <c r="M88" s="67">
        <v>-0.34519393373259011</v>
      </c>
      <c r="N88" s="27"/>
      <c r="O88" s="26">
        <f t="shared" si="52"/>
        <v>-290299</v>
      </c>
      <c r="P88" s="26">
        <f t="shared" si="45"/>
        <v>10921</v>
      </c>
      <c r="Q88" s="26">
        <f t="shared" si="46"/>
        <v>11366</v>
      </c>
      <c r="R88" s="26">
        <f t="shared" si="47"/>
        <v>31213</v>
      </c>
      <c r="S88" s="36">
        <f t="shared" si="48"/>
        <v>7263877</v>
      </c>
      <c r="T88" s="73"/>
      <c r="U88" s="78"/>
      <c r="V88" s="78"/>
      <c r="W88" s="26"/>
      <c r="X88" s="26"/>
      <c r="Y88" s="26"/>
      <c r="Z88" s="26"/>
      <c r="AA88" s="26"/>
      <c r="AB88" s="26"/>
      <c r="AC88" s="73"/>
      <c r="AD88" s="37">
        <f t="shared" si="53"/>
        <v>76</v>
      </c>
      <c r="AE88" s="6"/>
      <c r="AL88" s="219">
        <f>(1+alloc1*Simulator!E88+alloc2*Simulator!F88+alloc3*Simulator!H88+alloc4*Simulator!J88+alloc5*Simulator!M88)</f>
        <v>1.0309797880661042</v>
      </c>
      <c r="AM88" s="215">
        <f>IF(SUM($AM$13:AM87)&lt;&gt;0,0,IF(O88&lt;0,B88-O87,0))</f>
        <v>0</v>
      </c>
      <c r="AN88" s="12">
        <f t="shared" si="54"/>
        <v>0</v>
      </c>
      <c r="AQ88" s="145"/>
      <c r="AR88" s="145" t="e">
        <f t="shared" si="26"/>
        <v>#N/A</v>
      </c>
      <c r="AS88" s="146" t="e">
        <f t="shared" si="49"/>
        <v>#N/A</v>
      </c>
      <c r="AT88" s="220" t="e">
        <f>IF(AQ88&lt;&gt;0,IF((AT87-B88)*(1+alloc1*Simulator!E88+alloc2*Simulator!F88+alloc3*Simulator!H88+alloc4*Simulator!J88+alloc5*Simulator!M88)&lt;0,NA(),(AT87-B88)*(1+alloc1*Simulator!E88+alloc2*Simulator!F88+alloc3*Simulator!H88+alloc4*Simulator!J88+alloc5*Simulator!M88)),NA())</f>
        <v>#N/A</v>
      </c>
      <c r="AU88" s="219" t="e">
        <f t="shared" si="50"/>
        <v>#N/A</v>
      </c>
      <c r="AV88" s="83">
        <f t="shared" si="55"/>
        <v>734.45016727763982</v>
      </c>
      <c r="AW88" s="85" t="e">
        <f t="shared" si="56"/>
        <v>#DIV/0!</v>
      </c>
      <c r="AX88" s="1">
        <f t="shared" si="57"/>
        <v>393.04114547457573</v>
      </c>
      <c r="AY88" s="85" t="e">
        <f t="shared" si="58"/>
        <v>#DIV/0!</v>
      </c>
      <c r="AZ88" s="1">
        <f t="shared" si="59"/>
        <v>1957.6184106327007</v>
      </c>
      <c r="BA88" s="85" t="e">
        <f t="shared" si="60"/>
        <v>#DIV/0!</v>
      </c>
      <c r="BB88" s="1">
        <f t="shared" si="61"/>
        <v>476919.69442778296</v>
      </c>
      <c r="BC88" s="85" t="e">
        <f t="shared" si="62"/>
        <v>#DIV/0!</v>
      </c>
    </row>
    <row r="89" spans="1:55" hidden="1" x14ac:dyDescent="0.25">
      <c r="A89" s="37">
        <f t="shared" si="51"/>
        <v>77</v>
      </c>
      <c r="B89" s="142">
        <f t="shared" si="39"/>
        <v>4162.810708275827</v>
      </c>
      <c r="C89" s="27"/>
      <c r="D89" s="65">
        <f t="shared" si="40"/>
        <v>0.08</v>
      </c>
      <c r="E89" s="67">
        <v>0.08</v>
      </c>
      <c r="F89" s="67">
        <v>9.4286609585325892E-2</v>
      </c>
      <c r="G89" s="66">
        <f t="shared" ca="1" si="41"/>
        <v>9.4286609585325892E-2</v>
      </c>
      <c r="H89" s="67">
        <v>0.13086008078263325</v>
      </c>
      <c r="I89" s="66">
        <f t="shared" ca="1" si="42"/>
        <v>0.13086008078263325</v>
      </c>
      <c r="J89" s="67">
        <v>-3.5517870388205308E-2</v>
      </c>
      <c r="K89" s="66">
        <f t="shared" ca="1" si="43"/>
        <v>-3.5517870388205308E-2</v>
      </c>
      <c r="L89" s="65">
        <f t="shared" ca="1" si="44"/>
        <v>0.15413288013178808</v>
      </c>
      <c r="M89" s="67">
        <v>0.15413288013178808</v>
      </c>
      <c r="N89" s="27"/>
      <c r="O89" s="26">
        <f t="shared" si="52"/>
        <v>-318019</v>
      </c>
      <c r="P89" s="26">
        <f t="shared" si="45"/>
        <v>11951</v>
      </c>
      <c r="Q89" s="26">
        <f t="shared" si="46"/>
        <v>12853</v>
      </c>
      <c r="R89" s="26">
        <f t="shared" si="47"/>
        <v>30104</v>
      </c>
      <c r="S89" s="36">
        <f t="shared" si="48"/>
        <v>8383479</v>
      </c>
      <c r="T89" s="73"/>
      <c r="U89" s="78"/>
      <c r="V89" s="78"/>
      <c r="W89" s="26"/>
      <c r="X89" s="26"/>
      <c r="Y89" s="26"/>
      <c r="Z89" s="26"/>
      <c r="AA89" s="26"/>
      <c r="AB89" s="26"/>
      <c r="AC89" s="73"/>
      <c r="AD89" s="37">
        <f t="shared" si="53"/>
        <v>77</v>
      </c>
      <c r="AE89" s="6"/>
      <c r="AL89" s="219">
        <f>(1+alloc1*Simulator!E89+alloc2*Simulator!F89+alloc3*Simulator!H89+alloc4*Simulator!J89+alloc5*Simulator!M89)</f>
        <v>1.0874621780894174</v>
      </c>
      <c r="AM89" s="215">
        <f>IF(SUM($AM$13:AM88)&lt;&gt;0,0,IF(O89&lt;0,B89-O88,0))</f>
        <v>0</v>
      </c>
      <c r="AN89" s="12">
        <f t="shared" si="54"/>
        <v>0</v>
      </c>
      <c r="AQ89" s="145"/>
      <c r="AR89" s="145" t="e">
        <f t="shared" si="26"/>
        <v>#N/A</v>
      </c>
      <c r="AS89" s="146" t="e">
        <f t="shared" si="49"/>
        <v>#N/A</v>
      </c>
      <c r="AT89" s="220" t="e">
        <f>IF(AQ89&lt;&gt;0,IF((AT88-B89)*(1+alloc1*Simulator!E89+alloc2*Simulator!F89+alloc3*Simulator!H89+alloc4*Simulator!J89+alloc5*Simulator!M89)&lt;0,NA(),(AT88-B89)*(1+alloc1*Simulator!E89+alloc2*Simulator!F89+alloc3*Simulator!H89+alloc4*Simulator!J89+alloc5*Simulator!M89)),NA())</f>
        <v>#N/A</v>
      </c>
      <c r="AU89" s="219" t="e">
        <f t="shared" si="50"/>
        <v>#N/A</v>
      </c>
      <c r="AV89" s="83">
        <f t="shared" si="55"/>
        <v>803.69898345962395</v>
      </c>
      <c r="AW89" s="85" t="e">
        <f t="shared" si="56"/>
        <v>#DIV/0!</v>
      </c>
      <c r="AX89" s="1">
        <f t="shared" si="57"/>
        <v>444.47454152227738</v>
      </c>
      <c r="AY89" s="85" t="e">
        <f t="shared" si="58"/>
        <v>#DIV/0!</v>
      </c>
      <c r="AZ89" s="1">
        <f t="shared" si="59"/>
        <v>1888.087973654284</v>
      </c>
      <c r="BA89" s="85" t="e">
        <f t="shared" si="60"/>
        <v>#DIV/0!</v>
      </c>
      <c r="BB89" s="1">
        <f t="shared" si="61"/>
        <v>550428.7005215094</v>
      </c>
      <c r="BC89" s="85" t="e">
        <f t="shared" si="62"/>
        <v>#DIV/0!</v>
      </c>
    </row>
    <row r="90" spans="1:55" hidden="1" x14ac:dyDescent="0.25">
      <c r="A90" s="37">
        <f t="shared" si="51"/>
        <v>78</v>
      </c>
      <c r="B90" s="142">
        <f t="shared" si="39"/>
        <v>4495.8355649378927</v>
      </c>
      <c r="C90" s="27"/>
      <c r="D90" s="65">
        <f t="shared" si="40"/>
        <v>0.08</v>
      </c>
      <c r="E90" s="67">
        <v>0.08</v>
      </c>
      <c r="F90" s="67">
        <v>7.3698189337120773E-2</v>
      </c>
      <c r="G90" s="66">
        <f t="shared" ca="1" si="41"/>
        <v>7.3698189337120773E-2</v>
      </c>
      <c r="H90" s="67">
        <v>0.15560225460133525</v>
      </c>
      <c r="I90" s="66">
        <f t="shared" ca="1" si="42"/>
        <v>0.15560225460133525</v>
      </c>
      <c r="J90" s="67">
        <v>0.20485833170652951</v>
      </c>
      <c r="K90" s="66">
        <f t="shared" ca="1" si="43"/>
        <v>0.20485833170652951</v>
      </c>
      <c r="L90" s="65">
        <f t="shared" ca="1" si="44"/>
        <v>-2.6976715519972466E-2</v>
      </c>
      <c r="M90" s="67">
        <v>-2.6976715519972466E-2</v>
      </c>
      <c r="N90" s="27"/>
      <c r="O90" s="26">
        <f t="shared" si="52"/>
        <v>-348316</v>
      </c>
      <c r="P90" s="26">
        <f t="shared" si="45"/>
        <v>12832</v>
      </c>
      <c r="Q90" s="26">
        <f t="shared" si="46"/>
        <v>14853</v>
      </c>
      <c r="R90" s="26">
        <f t="shared" si="47"/>
        <v>36271</v>
      </c>
      <c r="S90" s="36">
        <f t="shared" si="48"/>
        <v>8157320</v>
      </c>
      <c r="T90" s="73"/>
      <c r="U90" s="78"/>
      <c r="V90" s="78"/>
      <c r="W90" s="26"/>
      <c r="X90" s="26"/>
      <c r="Y90" s="26"/>
      <c r="Z90" s="26"/>
      <c r="AA90" s="26"/>
      <c r="AB90" s="26"/>
      <c r="AC90" s="73"/>
      <c r="AD90" s="37">
        <f t="shared" si="53"/>
        <v>78</v>
      </c>
      <c r="AE90" s="6"/>
      <c r="AL90" s="219">
        <f>(1+alloc1*Simulator!E90+alloc2*Simulator!F90+alloc3*Simulator!H90+alloc4*Simulator!J90+alloc5*Simulator!M90)</f>
        <v>1.0962784314726348</v>
      </c>
      <c r="AM90" s="215">
        <f>IF(SUM($AM$13:AM89)&lt;&gt;0,0,IF(O90&lt;0,B90-O89,0))</f>
        <v>0</v>
      </c>
      <c r="AN90" s="12">
        <f t="shared" si="54"/>
        <v>0</v>
      </c>
      <c r="AQ90" s="145"/>
      <c r="AR90" s="145" t="e">
        <f t="shared" ref="AR90:AR111" si="63">IF(AQ90=SUM(AN77:AN1176),NA(),IF(AQ90&lt;&gt;0,IF(SUM(O90:S90)&lt;0,NA(),SUM(O90:S90)),NA()))</f>
        <v>#N/A</v>
      </c>
      <c r="AS90" s="146" t="e">
        <f t="shared" si="49"/>
        <v>#N/A</v>
      </c>
      <c r="AT90" s="220" t="e">
        <f>IF(AQ90&lt;&gt;0,IF((AT89-B90)*(1+alloc1*Simulator!E90+alloc2*Simulator!F90+alloc3*Simulator!H90+alloc4*Simulator!J90+alloc5*Simulator!M90)&lt;0,NA(),(AT89-B90)*(1+alloc1*Simulator!E90+alloc2*Simulator!F90+alloc3*Simulator!H90+alloc4*Simulator!J90+alloc5*Simulator!M90)),NA())</f>
        <v>#N/A</v>
      </c>
      <c r="AU90" s="219" t="e">
        <f t="shared" si="50"/>
        <v>#N/A</v>
      </c>
      <c r="AV90" s="83">
        <f t="shared" si="55"/>
        <v>862.93014331268273</v>
      </c>
      <c r="AW90" s="85" t="e">
        <f t="shared" si="56"/>
        <v>#DIV/0!</v>
      </c>
      <c r="AX90" s="1">
        <f t="shared" si="57"/>
        <v>513.63578229603854</v>
      </c>
      <c r="AY90" s="85" t="e">
        <f t="shared" si="58"/>
        <v>#DIV/0!</v>
      </c>
      <c r="AZ90" s="1">
        <f t="shared" si="59"/>
        <v>2274.8785260522627</v>
      </c>
      <c r="BA90" s="85" t="e">
        <f t="shared" si="60"/>
        <v>#DIV/0!</v>
      </c>
      <c r="BB90" s="1">
        <f t="shared" si="61"/>
        <v>535579.94205351255</v>
      </c>
      <c r="BC90" s="85" t="e">
        <f t="shared" si="62"/>
        <v>#DIV/0!</v>
      </c>
    </row>
    <row r="91" spans="1:55" hidden="1" x14ac:dyDescent="0.25">
      <c r="A91" s="37">
        <f t="shared" si="51"/>
        <v>79</v>
      </c>
      <c r="B91" s="142">
        <f t="shared" si="39"/>
        <v>4855.5024101329254</v>
      </c>
      <c r="C91" s="27"/>
      <c r="D91" s="65">
        <f t="shared" si="40"/>
        <v>0.08</v>
      </c>
      <c r="E91" s="67">
        <v>0.08</v>
      </c>
      <c r="F91" s="67">
        <v>0.11601043822796647</v>
      </c>
      <c r="G91" s="66">
        <f t="shared" ca="1" si="41"/>
        <v>0.11601043822796647</v>
      </c>
      <c r="H91" s="67">
        <v>7.1148035834425527E-2</v>
      </c>
      <c r="I91" s="66">
        <f t="shared" ca="1" si="42"/>
        <v>7.1148035834425527E-2</v>
      </c>
      <c r="J91" s="67">
        <v>-6.9234435587252063E-3</v>
      </c>
      <c r="K91" s="66">
        <f t="shared" ca="1" si="43"/>
        <v>-6.9234435587252063E-3</v>
      </c>
      <c r="L91" s="65">
        <f t="shared" ca="1" si="44"/>
        <v>-0.32816361139826233</v>
      </c>
      <c r="M91" s="67">
        <v>-0.32816361139826233</v>
      </c>
      <c r="N91" s="27"/>
      <c r="O91" s="26">
        <f t="shared" si="52"/>
        <v>-381425</v>
      </c>
      <c r="P91" s="26">
        <f t="shared" si="45"/>
        <v>14321</v>
      </c>
      <c r="Q91" s="26">
        <f t="shared" si="46"/>
        <v>15910</v>
      </c>
      <c r="R91" s="26">
        <f t="shared" si="47"/>
        <v>36020</v>
      </c>
      <c r="S91" s="36">
        <f t="shared" si="48"/>
        <v>5480384</v>
      </c>
      <c r="T91" s="73"/>
      <c r="U91" s="78"/>
      <c r="V91" s="78"/>
      <c r="W91" s="26"/>
      <c r="X91" s="26"/>
      <c r="Y91" s="26"/>
      <c r="Z91" s="26"/>
      <c r="AA91" s="26"/>
      <c r="AB91" s="26"/>
      <c r="AC91" s="73"/>
      <c r="AD91" s="37">
        <f t="shared" si="53"/>
        <v>79</v>
      </c>
      <c r="AE91" s="6"/>
      <c r="AL91" s="219">
        <f>(1+alloc1*Simulator!E91+alloc2*Simulator!F91+alloc3*Simulator!H91+alloc4*Simulator!J91+alloc5*Simulator!M91)</f>
        <v>1.0323219454939829</v>
      </c>
      <c r="AM91" s="215">
        <f>IF(SUM($AM$13:AM90)&lt;&gt;0,0,IF(O91&lt;0,B91-O90,0))</f>
        <v>0</v>
      </c>
      <c r="AN91" s="12">
        <f t="shared" si="54"/>
        <v>0</v>
      </c>
      <c r="AQ91" s="145"/>
      <c r="AR91" s="145" t="e">
        <f t="shared" si="63"/>
        <v>#N/A</v>
      </c>
      <c r="AS91" s="146" t="e">
        <f t="shared" si="49"/>
        <v>#N/A</v>
      </c>
      <c r="AT91" s="220" t="e">
        <f>IF(AQ91&lt;&gt;0,IF((AT90-B91)*(1+alloc1*Simulator!E91+alloc2*Simulator!F91+alloc3*Simulator!H91+alloc4*Simulator!J91+alloc5*Simulator!M91)&lt;0,NA(),(AT90-B91)*(1+alloc1*Simulator!E91+alloc2*Simulator!F91+alloc3*Simulator!H91+alloc4*Simulator!J91+alloc5*Simulator!M91)),NA())</f>
        <v>#N/A</v>
      </c>
      <c r="AU91" s="219" t="e">
        <f t="shared" si="50"/>
        <v>#N/A</v>
      </c>
      <c r="AV91" s="83">
        <f t="shared" si="55"/>
        <v>963.03904739850907</v>
      </c>
      <c r="AW91" s="85" t="e">
        <f t="shared" si="56"/>
        <v>#DIV/0!</v>
      </c>
      <c r="AX91" s="1">
        <f t="shared" si="57"/>
        <v>550.17995934068028</v>
      </c>
      <c r="AY91" s="85" t="e">
        <f t="shared" si="58"/>
        <v>#DIV/0!</v>
      </c>
      <c r="AZ91" s="1">
        <f t="shared" si="59"/>
        <v>2259.1285329741841</v>
      </c>
      <c r="BA91" s="85" t="e">
        <f t="shared" si="60"/>
        <v>#DIV/0!</v>
      </c>
      <c r="BB91" s="1">
        <f t="shared" si="61"/>
        <v>359822.09407675982</v>
      </c>
      <c r="BC91" s="85" t="e">
        <f t="shared" si="62"/>
        <v>#DIV/0!</v>
      </c>
    </row>
    <row r="92" spans="1:55" hidden="1" x14ac:dyDescent="0.25">
      <c r="A92" s="37">
        <f t="shared" si="51"/>
        <v>80</v>
      </c>
      <c r="B92" s="142">
        <f t="shared" si="39"/>
        <v>5243.9426029435608</v>
      </c>
      <c r="C92" s="27"/>
      <c r="D92" s="65">
        <f t="shared" si="40"/>
        <v>0.08</v>
      </c>
      <c r="E92" s="67">
        <v>0.08</v>
      </c>
      <c r="F92" s="67">
        <v>7.643901235518423E-2</v>
      </c>
      <c r="G92" s="66">
        <f t="shared" ca="1" si="41"/>
        <v>7.643901235518423E-2</v>
      </c>
      <c r="H92" s="67">
        <v>5.4020864456649588E-2</v>
      </c>
      <c r="I92" s="66">
        <f t="shared" ca="1" si="42"/>
        <v>5.4020864456649588E-2</v>
      </c>
      <c r="J92" s="67">
        <v>0.16979010070889244</v>
      </c>
      <c r="K92" s="66">
        <f t="shared" ca="1" si="43"/>
        <v>0.16979010070889244</v>
      </c>
      <c r="L92" s="65">
        <f t="shared" ca="1" si="44"/>
        <v>5.9566790874958697E-2</v>
      </c>
      <c r="M92" s="67">
        <v>5.9566790874958697E-2</v>
      </c>
      <c r="N92" s="27"/>
      <c r="O92" s="26">
        <f t="shared" si="52"/>
        <v>-417602</v>
      </c>
      <c r="P92" s="26">
        <f t="shared" si="45"/>
        <v>15416</v>
      </c>
      <c r="Q92" s="26">
        <f t="shared" si="46"/>
        <v>16769</v>
      </c>
      <c r="R92" s="26">
        <f t="shared" si="47"/>
        <v>42136</v>
      </c>
      <c r="S92" s="36">
        <f t="shared" si="48"/>
        <v>5806833</v>
      </c>
      <c r="T92" s="73"/>
      <c r="U92" s="78"/>
      <c r="V92" s="78"/>
      <c r="W92" s="26"/>
      <c r="X92" s="26"/>
      <c r="Y92" s="26"/>
      <c r="Z92" s="26"/>
      <c r="AA92" s="26"/>
      <c r="AB92" s="26"/>
      <c r="AC92" s="73"/>
      <c r="AD92" s="37">
        <f t="shared" si="53"/>
        <v>80</v>
      </c>
      <c r="AE92" s="6"/>
      <c r="AL92" s="219">
        <f>(1+alloc1*Simulator!E92+alloc2*Simulator!F92+alloc3*Simulator!H92+alloc4*Simulator!J92+alloc5*Simulator!M92)</f>
        <v>1.0813837632852337</v>
      </c>
      <c r="AM92" s="215">
        <f>IF(SUM($AM$13:AM91)&lt;&gt;0,0,IF(O92&lt;0,B92-O91,0))</f>
        <v>0</v>
      </c>
      <c r="AN92" s="12">
        <f t="shared" si="54"/>
        <v>0</v>
      </c>
      <c r="AQ92" s="145"/>
      <c r="AR92" s="145" t="e">
        <f t="shared" si="63"/>
        <v>#N/A</v>
      </c>
      <c r="AS92" s="146" t="e">
        <f t="shared" si="49"/>
        <v>#N/A</v>
      </c>
      <c r="AT92" s="220" t="e">
        <f>IF(AQ92&lt;&gt;0,IF((AT91-B92)*(1+alloc1*Simulator!E92+alloc2*Simulator!F92+alloc3*Simulator!H92+alloc4*Simulator!J92+alloc5*Simulator!M92)&lt;0,NA(),(AT91-B92)*(1+alloc1*Simulator!E92+alloc2*Simulator!F92+alloc3*Simulator!H92+alloc4*Simulator!J92+alloc5*Simulator!M92)),NA())</f>
        <v>#N/A</v>
      </c>
      <c r="AU92" s="219" t="e">
        <f t="shared" si="50"/>
        <v>#N/A</v>
      </c>
      <c r="AV92" s="83">
        <f t="shared" si="55"/>
        <v>1036.6528010411284</v>
      </c>
      <c r="AW92" s="85" t="e">
        <f t="shared" si="56"/>
        <v>#DIV/0!</v>
      </c>
      <c r="AX92" s="1">
        <f t="shared" si="57"/>
        <v>579.90115635098812</v>
      </c>
      <c r="AY92" s="85" t="e">
        <f t="shared" si="58"/>
        <v>#DIV/0!</v>
      </c>
      <c r="AZ92" s="1">
        <f t="shared" si="59"/>
        <v>2642.7061941022034</v>
      </c>
      <c r="BA92" s="85" t="e">
        <f t="shared" si="60"/>
        <v>#DIV/0!</v>
      </c>
      <c r="BB92" s="1">
        <f t="shared" si="61"/>
        <v>381255.54150681989</v>
      </c>
      <c r="BC92" s="85" t="e">
        <f t="shared" si="62"/>
        <v>#DIV/0!</v>
      </c>
    </row>
    <row r="93" spans="1:55" hidden="1" x14ac:dyDescent="0.25">
      <c r="A93" s="37">
        <f t="shared" si="51"/>
        <v>81</v>
      </c>
      <c r="B93" s="142">
        <f t="shared" si="39"/>
        <v>5663.4580111790456</v>
      </c>
      <c r="C93" s="27"/>
      <c r="D93" s="65">
        <f t="shared" si="40"/>
        <v>0.08</v>
      </c>
      <c r="E93" s="67">
        <v>0.08</v>
      </c>
      <c r="F93" s="67">
        <v>0.10579096985922652</v>
      </c>
      <c r="G93" s="66">
        <f t="shared" ca="1" si="41"/>
        <v>0.10579096985922652</v>
      </c>
      <c r="H93" s="67">
        <v>0.24196009295193593</v>
      </c>
      <c r="I93" s="66">
        <f t="shared" ca="1" si="42"/>
        <v>0.24196009295193593</v>
      </c>
      <c r="J93" s="67">
        <v>0.10311917219886155</v>
      </c>
      <c r="K93" s="66">
        <f t="shared" ca="1" si="43"/>
        <v>0.10311917219886155</v>
      </c>
      <c r="L93" s="65">
        <f t="shared" ca="1" si="44"/>
        <v>-0.35218568389817195</v>
      </c>
      <c r="M93" s="67">
        <v>-0.35218568389817195</v>
      </c>
      <c r="N93" s="27"/>
      <c r="O93" s="26">
        <f t="shared" si="52"/>
        <v>-457127</v>
      </c>
      <c r="P93" s="26">
        <f t="shared" si="45"/>
        <v>17047</v>
      </c>
      <c r="Q93" s="26">
        <f t="shared" si="46"/>
        <v>20826</v>
      </c>
      <c r="R93" s="26">
        <f t="shared" si="47"/>
        <v>46481</v>
      </c>
      <c r="S93" s="36">
        <f t="shared" si="48"/>
        <v>3761750</v>
      </c>
      <c r="T93" s="73"/>
      <c r="U93" s="78"/>
      <c r="V93" s="78"/>
      <c r="W93" s="26"/>
      <c r="X93" s="26"/>
      <c r="Y93" s="26"/>
      <c r="Z93" s="26"/>
      <c r="AA93" s="26"/>
      <c r="AB93" s="26"/>
      <c r="AC93" s="73"/>
      <c r="AD93" s="37">
        <f t="shared" si="53"/>
        <v>81</v>
      </c>
      <c r="AE93" s="6"/>
      <c r="AL93" s="219">
        <f>(1+alloc1*Simulator!E93+alloc2*Simulator!F93+alloc3*Simulator!H93+alloc4*Simulator!J93+alloc5*Simulator!M93)</f>
        <v>1.074064464406379</v>
      </c>
      <c r="AM93" s="215">
        <f>IF(SUM($AM$13:AM92)&lt;&gt;0,0,IF(O93&lt;0,B93-O92,0))</f>
        <v>0</v>
      </c>
      <c r="AN93" s="12">
        <f t="shared" si="54"/>
        <v>0</v>
      </c>
      <c r="AQ93" s="145"/>
      <c r="AR93" s="145" t="e">
        <f t="shared" si="63"/>
        <v>#N/A</v>
      </c>
      <c r="AS93" s="146" t="e">
        <f t="shared" si="49"/>
        <v>#N/A</v>
      </c>
      <c r="AT93" s="220" t="e">
        <f>IF(AQ93&lt;&gt;0,IF((AT92-B93)*(1+alloc1*Simulator!E93+alloc2*Simulator!F93+alloc3*Simulator!H93+alloc4*Simulator!J93+alloc5*Simulator!M93)&lt;0,NA(),(AT92-B93)*(1+alloc1*Simulator!E93+alloc2*Simulator!F93+alloc3*Simulator!H93+alloc4*Simulator!J93+alloc5*Simulator!M93)),NA())</f>
        <v>#N/A</v>
      </c>
      <c r="AU93" s="219" t="e">
        <f t="shared" si="50"/>
        <v>#N/A</v>
      </c>
      <c r="AV93" s="83">
        <f t="shared" si="55"/>
        <v>1146.3213062705531</v>
      </c>
      <c r="AW93" s="85" t="e">
        <f t="shared" si="56"/>
        <v>#DIV/0!</v>
      </c>
      <c r="AX93" s="1">
        <f t="shared" si="57"/>
        <v>720.21409404460826</v>
      </c>
      <c r="AY93" s="85" t="e">
        <f t="shared" si="58"/>
        <v>#DIV/0!</v>
      </c>
      <c r="AZ93" s="1">
        <f t="shared" si="59"/>
        <v>2915.2198692028264</v>
      </c>
      <c r="BA93" s="85" t="e">
        <f t="shared" si="60"/>
        <v>#DIV/0!</v>
      </c>
      <c r="BB93" s="1">
        <f t="shared" si="61"/>
        <v>246982.79788127265</v>
      </c>
      <c r="BC93" s="85" t="e">
        <f t="shared" si="62"/>
        <v>#DIV/0!</v>
      </c>
    </row>
    <row r="94" spans="1:55" hidden="1" x14ac:dyDescent="0.25">
      <c r="A94" s="37">
        <f t="shared" si="51"/>
        <v>82</v>
      </c>
      <c r="B94" s="142">
        <f t="shared" si="39"/>
        <v>6116.5346520733692</v>
      </c>
      <c r="C94" s="27"/>
      <c r="D94" s="65">
        <f t="shared" si="40"/>
        <v>0.08</v>
      </c>
      <c r="E94" s="67">
        <v>0.08</v>
      </c>
      <c r="F94" s="67">
        <v>0.11392785382440834</v>
      </c>
      <c r="G94" s="66">
        <f t="shared" ca="1" si="41"/>
        <v>0.11392785382440834</v>
      </c>
      <c r="H94" s="67">
        <v>-4.1127576884066069E-2</v>
      </c>
      <c r="I94" s="66">
        <f t="shared" ca="1" si="42"/>
        <v>-4.1127576884066069E-2</v>
      </c>
      <c r="J94" s="67">
        <v>0.27303898700513951</v>
      </c>
      <c r="K94" s="66">
        <f t="shared" ca="1" si="43"/>
        <v>0.27303898700513951</v>
      </c>
      <c r="L94" s="65">
        <f t="shared" ca="1" si="44"/>
        <v>-0.31944159569364827</v>
      </c>
      <c r="M94" s="67">
        <v>-0.31944159569364827</v>
      </c>
      <c r="N94" s="27"/>
      <c r="O94" s="26">
        <f t="shared" si="52"/>
        <v>-500303</v>
      </c>
      <c r="P94" s="26">
        <f t="shared" si="45"/>
        <v>18989</v>
      </c>
      <c r="Q94" s="26">
        <f t="shared" si="46"/>
        <v>19969</v>
      </c>
      <c r="R94" s="26">
        <f t="shared" si="47"/>
        <v>59172</v>
      </c>
      <c r="S94" s="36">
        <f t="shared" si="48"/>
        <v>2560091</v>
      </c>
      <c r="T94" s="73"/>
      <c r="U94" s="78"/>
      <c r="V94" s="78"/>
      <c r="W94" s="26"/>
      <c r="X94" s="26"/>
      <c r="Y94" s="26"/>
      <c r="Z94" s="26"/>
      <c r="AA94" s="26"/>
      <c r="AB94" s="26"/>
      <c r="AC94" s="73"/>
      <c r="AD94" s="37">
        <f t="shared" si="53"/>
        <v>82</v>
      </c>
      <c r="AE94" s="6"/>
      <c r="AL94" s="219">
        <f>(1+alloc1*Simulator!E94+alloc2*Simulator!F94+alloc3*Simulator!H94+alloc4*Simulator!J94+alloc5*Simulator!M94)</f>
        <v>1.0385270091367769</v>
      </c>
      <c r="AM94" s="215">
        <f>IF(SUM($AM$13:AM93)&lt;&gt;0,0,IF(O94&lt;0,B94-O93,0))</f>
        <v>0</v>
      </c>
      <c r="AN94" s="12">
        <f t="shared" si="54"/>
        <v>0</v>
      </c>
      <c r="AQ94" s="145"/>
      <c r="AR94" s="145" t="e">
        <f t="shared" si="63"/>
        <v>#N/A</v>
      </c>
      <c r="AS94" s="146" t="e">
        <f t="shared" si="49"/>
        <v>#N/A</v>
      </c>
      <c r="AT94" s="220" t="e">
        <f>IF(AQ94&lt;&gt;0,IF((AT93-B94)*(1+alloc1*Simulator!E94+alloc2*Simulator!F94+alloc3*Simulator!H94+alloc4*Simulator!J94+alloc5*Simulator!M94)&lt;0,NA(),(AT93-B94)*(1+alloc1*Simulator!E94+alloc2*Simulator!F94+alloc3*Simulator!H94+alloc4*Simulator!J94+alloc5*Simulator!M94)),NA())</f>
        <v>#N/A</v>
      </c>
      <c r="AU94" s="219" t="e">
        <f t="shared" si="50"/>
        <v>#N/A</v>
      </c>
      <c r="AV94" s="83">
        <f t="shared" si="55"/>
        <v>1276.9192324871497</v>
      </c>
      <c r="AW94" s="85" t="e">
        <f t="shared" si="56"/>
        <v>#DIV/0!</v>
      </c>
      <c r="AX94" s="1">
        <f t="shared" si="57"/>
        <v>690.59343351880057</v>
      </c>
      <c r="AY94" s="85" t="e">
        <f t="shared" si="58"/>
        <v>#DIV/0!</v>
      </c>
      <c r="AZ94" s="1">
        <f t="shared" si="59"/>
        <v>3711.1885491872213</v>
      </c>
      <c r="BA94" s="85" t="e">
        <f t="shared" si="60"/>
        <v>#DIV/0!</v>
      </c>
      <c r="BB94" s="1">
        <f t="shared" si="61"/>
        <v>168086.21881719711</v>
      </c>
      <c r="BC94" s="85" t="e">
        <f t="shared" si="62"/>
        <v>#DIV/0!</v>
      </c>
    </row>
    <row r="95" spans="1:55" hidden="1" x14ac:dyDescent="0.25">
      <c r="A95" s="37">
        <f t="shared" si="51"/>
        <v>83</v>
      </c>
      <c r="B95" s="142">
        <f t="shared" si="39"/>
        <v>6605.8574242392388</v>
      </c>
      <c r="C95" s="27"/>
      <c r="D95" s="65">
        <f t="shared" si="40"/>
        <v>0.08</v>
      </c>
      <c r="E95" s="67">
        <v>0.08</v>
      </c>
      <c r="F95" s="67">
        <v>8.2441826264553972E-2</v>
      </c>
      <c r="G95" s="66">
        <f t="shared" ca="1" si="41"/>
        <v>8.2441826264553972E-2</v>
      </c>
      <c r="H95" s="67">
        <v>-2.0507288369908935E-2</v>
      </c>
      <c r="I95" s="66">
        <f t="shared" ca="1" si="42"/>
        <v>-2.0507288369908935E-2</v>
      </c>
      <c r="J95" s="67">
        <v>0.30916136009468109</v>
      </c>
      <c r="K95" s="66">
        <f t="shared" ca="1" si="43"/>
        <v>0.30916136009468109</v>
      </c>
      <c r="L95" s="65">
        <f t="shared" ca="1" si="44"/>
        <v>0.37484652520771344</v>
      </c>
      <c r="M95" s="67">
        <v>0.37484652520771344</v>
      </c>
      <c r="N95" s="27"/>
      <c r="O95" s="26">
        <f t="shared" si="52"/>
        <v>-547462</v>
      </c>
      <c r="P95" s="26">
        <f t="shared" si="45"/>
        <v>20554</v>
      </c>
      <c r="Q95" s="26">
        <f t="shared" si="46"/>
        <v>19559</v>
      </c>
      <c r="R95" s="26">
        <f t="shared" si="47"/>
        <v>77466</v>
      </c>
      <c r="S95" s="36">
        <f t="shared" si="48"/>
        <v>3519732</v>
      </c>
      <c r="T95" s="73"/>
      <c r="U95" s="78"/>
      <c r="V95" s="78"/>
      <c r="W95" s="26"/>
      <c r="X95" s="26"/>
      <c r="Y95" s="26"/>
      <c r="Z95" s="26"/>
      <c r="AA95" s="26"/>
      <c r="AB95" s="26"/>
      <c r="AC95" s="73"/>
      <c r="AD95" s="37">
        <f t="shared" si="53"/>
        <v>83</v>
      </c>
      <c r="AE95" s="6"/>
      <c r="AL95" s="219">
        <f>(1+alloc1*Simulator!E95+alloc2*Simulator!F95+alloc3*Simulator!H95+alloc4*Simulator!J95+alloc5*Simulator!M95)</f>
        <v>1.1125435134827131</v>
      </c>
      <c r="AM95" s="215">
        <f>IF(SUM($AM$13:AM94)&lt;&gt;0,0,IF(O95&lt;0,B95-O94,0))</f>
        <v>0</v>
      </c>
      <c r="AN95" s="12">
        <f t="shared" si="54"/>
        <v>0</v>
      </c>
      <c r="AQ95" s="145"/>
      <c r="AR95" s="145" t="e">
        <f t="shared" si="63"/>
        <v>#N/A</v>
      </c>
      <c r="AS95" s="146" t="e">
        <f t="shared" si="49"/>
        <v>#N/A</v>
      </c>
      <c r="AT95" s="220" t="e">
        <f>IF(AQ95&lt;&gt;0,IF((AT94-B95)*(1+alloc1*Simulator!E95+alloc2*Simulator!F95+alloc3*Simulator!H95+alloc4*Simulator!J95+alloc5*Simulator!M95)&lt;0,NA(),(AT94-B95)*(1+alloc1*Simulator!E95+alloc2*Simulator!F95+alloc3*Simulator!H95+alloc4*Simulator!J95+alloc5*Simulator!M95)),NA())</f>
        <v>#N/A</v>
      </c>
      <c r="AU95" s="219" t="e">
        <f t="shared" si="50"/>
        <v>#N/A</v>
      </c>
      <c r="AV95" s="83">
        <f t="shared" si="55"/>
        <v>1382.1907860057227</v>
      </c>
      <c r="AW95" s="85" t="e">
        <f t="shared" si="56"/>
        <v>#DIV/0!</v>
      </c>
      <c r="AX95" s="1">
        <f t="shared" si="57"/>
        <v>676.43123483126499</v>
      </c>
      <c r="AY95" s="85" t="e">
        <f t="shared" si="58"/>
        <v>#DIV/0!</v>
      </c>
      <c r="AZ95" s="1">
        <f t="shared" si="59"/>
        <v>4858.5446486217497</v>
      </c>
      <c r="BA95" s="85" t="e">
        <f t="shared" si="60"/>
        <v>#DIV/0!</v>
      </c>
      <c r="BB95" s="1">
        <f t="shared" si="61"/>
        <v>231092.75387612684</v>
      </c>
      <c r="BC95" s="85" t="e">
        <f t="shared" si="62"/>
        <v>#DIV/0!</v>
      </c>
    </row>
    <row r="96" spans="1:55" hidden="1" x14ac:dyDescent="0.25">
      <c r="A96" s="37">
        <f t="shared" si="51"/>
        <v>84</v>
      </c>
      <c r="B96" s="142">
        <f t="shared" si="39"/>
        <v>7134.3260181783799</v>
      </c>
      <c r="C96" s="27"/>
      <c r="D96" s="65">
        <f t="shared" si="40"/>
        <v>0.08</v>
      </c>
      <c r="E96" s="67">
        <v>0.08</v>
      </c>
      <c r="F96" s="67">
        <v>3.9168685827597902E-2</v>
      </c>
      <c r="G96" s="66">
        <f t="shared" ca="1" si="41"/>
        <v>3.9168685827597902E-2</v>
      </c>
      <c r="H96" s="67">
        <v>7.0684238504464855E-2</v>
      </c>
      <c r="I96" s="66">
        <f t="shared" ca="1" si="42"/>
        <v>7.0684238504464855E-2</v>
      </c>
      <c r="J96" s="67">
        <v>-0.23788928971784828</v>
      </c>
      <c r="K96" s="66">
        <f t="shared" ca="1" si="43"/>
        <v>-0.23788928971784828</v>
      </c>
      <c r="L96" s="65">
        <f t="shared" ca="1" si="44"/>
        <v>-0.1406840687442085</v>
      </c>
      <c r="M96" s="67">
        <v>-0.1406840687442085</v>
      </c>
      <c r="N96" s="27"/>
      <c r="O96" s="26">
        <f t="shared" si="52"/>
        <v>-598964</v>
      </c>
      <c r="P96" s="26">
        <f t="shared" si="45"/>
        <v>21359</v>
      </c>
      <c r="Q96" s="26">
        <f t="shared" si="46"/>
        <v>20942</v>
      </c>
      <c r="R96" s="26">
        <f t="shared" si="47"/>
        <v>59038</v>
      </c>
      <c r="S96" s="36">
        <f t="shared" si="48"/>
        <v>3024562</v>
      </c>
      <c r="T96" s="73"/>
      <c r="U96" s="78"/>
      <c r="V96" s="78"/>
      <c r="W96" s="26"/>
      <c r="X96" s="26"/>
      <c r="Y96" s="26"/>
      <c r="Z96" s="26"/>
      <c r="AA96" s="26"/>
      <c r="AB96" s="26"/>
      <c r="AC96" s="73"/>
      <c r="AD96" s="37">
        <f t="shared" si="53"/>
        <v>84</v>
      </c>
      <c r="AE96" s="6"/>
      <c r="AL96" s="219">
        <f>(1+alloc1*Simulator!E96+alloc2*Simulator!F96+alloc3*Simulator!H96+alloc4*Simulator!J96+alloc5*Simulator!M96)</f>
        <v>1.0201963804374472</v>
      </c>
      <c r="AM96" s="215">
        <f>IF(SUM($AM$13:AM95)&lt;&gt;0,0,IF(O96&lt;0,B96-O95,0))</f>
        <v>0</v>
      </c>
      <c r="AN96" s="12">
        <f t="shared" si="54"/>
        <v>0</v>
      </c>
      <c r="AQ96" s="145"/>
      <c r="AR96" s="145" t="e">
        <f t="shared" si="63"/>
        <v>#N/A</v>
      </c>
      <c r="AS96" s="146" t="e">
        <f t="shared" si="49"/>
        <v>#N/A</v>
      </c>
      <c r="AT96" s="220" t="e">
        <f>IF(AQ96&lt;&gt;0,IF((AT95-B96)*(1+alloc1*Simulator!E96+alloc2*Simulator!F96+alloc3*Simulator!H96+alloc4*Simulator!J96+alloc5*Simulator!M96)&lt;0,NA(),(AT95-B96)*(1+alloc1*Simulator!E96+alloc2*Simulator!F96+alloc3*Simulator!H96+alloc4*Simulator!J96+alloc5*Simulator!M96)),NA())</f>
        <v>#N/A</v>
      </c>
      <c r="AU96" s="219" t="e">
        <f t="shared" si="50"/>
        <v>#N/A</v>
      </c>
      <c r="AV96" s="83">
        <f t="shared" si="55"/>
        <v>1436.3293826565814</v>
      </c>
      <c r="AW96" s="85" t="e">
        <f t="shared" si="56"/>
        <v>#DIV/0!</v>
      </c>
      <c r="AX96" s="1">
        <f t="shared" si="57"/>
        <v>724.2442615659478</v>
      </c>
      <c r="AY96" s="85" t="e">
        <f t="shared" si="58"/>
        <v>#DIV/0!</v>
      </c>
      <c r="AZ96" s="1">
        <f t="shared" si="59"/>
        <v>3702.7489130986687</v>
      </c>
      <c r="BA96" s="85" t="e">
        <f t="shared" si="60"/>
        <v>#DIV/0!</v>
      </c>
      <c r="BB96" s="1">
        <f t="shared" si="61"/>
        <v>198581.68500352936</v>
      </c>
      <c r="BC96" s="85" t="e">
        <f t="shared" si="62"/>
        <v>#DIV/0!</v>
      </c>
    </row>
    <row r="97" spans="1:55" hidden="1" x14ac:dyDescent="0.25">
      <c r="A97" s="37">
        <f t="shared" si="51"/>
        <v>85</v>
      </c>
      <c r="B97" s="142">
        <f t="shared" si="39"/>
        <v>7705.072099632649</v>
      </c>
      <c r="C97" s="27"/>
      <c r="D97" s="65">
        <f t="shared" si="40"/>
        <v>0.08</v>
      </c>
      <c r="E97" s="67">
        <v>0.08</v>
      </c>
      <c r="F97" s="67">
        <v>0.12013595007317758</v>
      </c>
      <c r="G97" s="66">
        <f t="shared" ca="1" si="41"/>
        <v>0.12013595007317758</v>
      </c>
      <c r="H97" s="67">
        <v>0.12134871919721173</v>
      </c>
      <c r="I97" s="66">
        <f t="shared" ca="1" si="42"/>
        <v>0.12134871919721173</v>
      </c>
      <c r="J97" s="67">
        <v>0.5206438232630396</v>
      </c>
      <c r="K97" s="66">
        <f t="shared" ca="1" si="43"/>
        <v>0.5206438232630396</v>
      </c>
      <c r="L97" s="65">
        <f t="shared" ca="1" si="44"/>
        <v>-6.4297162355490073E-2</v>
      </c>
      <c r="M97" s="67">
        <v>-6.4297162355490073E-2</v>
      </c>
      <c r="N97" s="27"/>
      <c r="O97" s="26">
        <f t="shared" si="52"/>
        <v>-655203</v>
      </c>
      <c r="P97" s="26">
        <f t="shared" si="45"/>
        <v>23925</v>
      </c>
      <c r="Q97" s="26">
        <f t="shared" si="46"/>
        <v>23483</v>
      </c>
      <c r="R97" s="26">
        <f t="shared" si="47"/>
        <v>89776</v>
      </c>
      <c r="S97" s="36">
        <f t="shared" si="48"/>
        <v>2830091</v>
      </c>
      <c r="T97" s="73"/>
      <c r="U97" s="78"/>
      <c r="V97" s="78"/>
      <c r="W97" s="26"/>
      <c r="X97" s="26"/>
      <c r="Y97" s="26"/>
      <c r="Z97" s="26"/>
      <c r="AA97" s="26"/>
      <c r="AB97" s="26"/>
      <c r="AC97" s="73"/>
      <c r="AD97" s="37">
        <f t="shared" si="53"/>
        <v>85</v>
      </c>
      <c r="AE97" s="6"/>
      <c r="AL97" s="219">
        <f>(1+alloc1*Simulator!E97+alloc2*Simulator!F97+alloc3*Simulator!H97+alloc4*Simulator!J97+alloc5*Simulator!M97)</f>
        <v>1.121918004937515</v>
      </c>
      <c r="AM97" s="215">
        <f>IF(SUM($AM$13:AM96)&lt;&gt;0,0,IF(O97&lt;0,B97-O96,0))</f>
        <v>0</v>
      </c>
      <c r="AN97" s="12">
        <f t="shared" si="54"/>
        <v>0</v>
      </c>
      <c r="AQ97" s="145"/>
      <c r="AR97" s="145" t="e">
        <f t="shared" si="63"/>
        <v>#N/A</v>
      </c>
      <c r="AS97" s="146" t="e">
        <f t="shared" si="49"/>
        <v>#N/A</v>
      </c>
      <c r="AT97" s="220" t="e">
        <f>IF(AQ97&lt;&gt;0,IF((AT96-B97)*(1+alloc1*Simulator!E97+alloc2*Simulator!F97+alloc3*Simulator!H97+alloc4*Simulator!J97+alloc5*Simulator!M97)&lt;0,NA(),(AT96-B97)*(1+alloc1*Simulator!E97+alloc2*Simulator!F97+alloc3*Simulator!H97+alloc4*Simulator!J97+alloc5*Simulator!M97)),NA())</f>
        <v>#N/A</v>
      </c>
      <c r="AU97" s="219" t="e">
        <f t="shared" si="50"/>
        <v>#N/A</v>
      </c>
      <c r="AV97" s="83">
        <f t="shared" si="55"/>
        <v>1608.8841776600505</v>
      </c>
      <c r="AW97" s="85" t="e">
        <f t="shared" si="56"/>
        <v>#DIV/0!</v>
      </c>
      <c r="AX97" s="1">
        <f t="shared" si="57"/>
        <v>812.13037509290598</v>
      </c>
      <c r="AY97" s="85" t="e">
        <f t="shared" si="58"/>
        <v>#DIV/0!</v>
      </c>
      <c r="AZ97" s="1">
        <f t="shared" si="59"/>
        <v>5630.5622637974247</v>
      </c>
      <c r="BA97" s="85" t="e">
        <f t="shared" si="60"/>
        <v>#DIV/0!</v>
      </c>
      <c r="BB97" s="1">
        <f t="shared" si="61"/>
        <v>185813.44616203065</v>
      </c>
      <c r="BC97" s="85" t="e">
        <f t="shared" si="62"/>
        <v>#DIV/0!</v>
      </c>
    </row>
    <row r="98" spans="1:55" hidden="1" x14ac:dyDescent="0.25">
      <c r="A98" s="37">
        <f t="shared" si="51"/>
        <v>86</v>
      </c>
      <c r="B98" s="142">
        <f t="shared" si="39"/>
        <v>8321.477867603262</v>
      </c>
      <c r="C98" s="27"/>
      <c r="D98" s="65">
        <f t="shared" si="40"/>
        <v>0.08</v>
      </c>
      <c r="E98" s="67">
        <v>0.08</v>
      </c>
      <c r="F98" s="67">
        <v>8.1215301684194455E-2</v>
      </c>
      <c r="G98" s="66">
        <f t="shared" ca="1" si="41"/>
        <v>8.1215301684194455E-2</v>
      </c>
      <c r="H98" s="67">
        <v>8.6621908915774454E-2</v>
      </c>
      <c r="I98" s="66">
        <f t="shared" ca="1" si="42"/>
        <v>8.6621908915774454E-2</v>
      </c>
      <c r="J98" s="67">
        <v>0.66488774573833165</v>
      </c>
      <c r="K98" s="66">
        <f t="shared" ca="1" si="43"/>
        <v>0.66488774573833165</v>
      </c>
      <c r="L98" s="65">
        <f t="shared" ca="1" si="44"/>
        <v>0.20357109537101536</v>
      </c>
      <c r="M98" s="67">
        <v>0.20357109537101536</v>
      </c>
      <c r="N98" s="27"/>
      <c r="O98" s="26">
        <f t="shared" si="52"/>
        <v>-716606</v>
      </c>
      <c r="P98" s="26">
        <f t="shared" si="45"/>
        <v>25868</v>
      </c>
      <c r="Q98" s="26">
        <f t="shared" si="46"/>
        <v>25517</v>
      </c>
      <c r="R98" s="26">
        <f t="shared" si="47"/>
        <v>149467</v>
      </c>
      <c r="S98" s="36">
        <f t="shared" si="48"/>
        <v>3406216</v>
      </c>
      <c r="T98" s="73"/>
      <c r="U98" s="78"/>
      <c r="V98" s="78"/>
      <c r="W98" s="26"/>
      <c r="X98" s="26"/>
      <c r="Y98" s="26"/>
      <c r="Z98" s="26"/>
      <c r="AA98" s="26"/>
      <c r="AB98" s="26"/>
      <c r="AC98" s="73"/>
      <c r="AD98" s="37">
        <f t="shared" si="53"/>
        <v>86</v>
      </c>
      <c r="AE98" s="6"/>
      <c r="AL98" s="219">
        <f>(1+alloc1*Simulator!E98+alloc2*Simulator!F98+alloc3*Simulator!H98+alloc4*Simulator!J98+alloc5*Simulator!M98)</f>
        <v>1.1522917960625092</v>
      </c>
      <c r="AM98" s="215">
        <f>IF(SUM($AM$13:AM97)&lt;&gt;0,0,IF(O98&lt;0,B98-O97,0))</f>
        <v>0</v>
      </c>
      <c r="AN98" s="12">
        <f t="shared" si="54"/>
        <v>0</v>
      </c>
      <c r="AQ98" s="145"/>
      <c r="AR98" s="145" t="e">
        <f t="shared" si="63"/>
        <v>#N/A</v>
      </c>
      <c r="AS98" s="146" t="e">
        <f t="shared" si="49"/>
        <v>#N/A</v>
      </c>
      <c r="AT98" s="220" t="e">
        <f>IF(AQ98&lt;&gt;0,IF((AT97-B98)*(1+alloc1*Simulator!E98+alloc2*Simulator!F98+alloc3*Simulator!H98+alloc4*Simulator!J98+alloc5*Simulator!M98)&lt;0,NA(),(AT97-B98)*(1+alloc1*Simulator!E98+alloc2*Simulator!F98+alloc3*Simulator!H98+alloc4*Simulator!J98+alloc5*Simulator!M98)),NA())</f>
        <v>#N/A</v>
      </c>
      <c r="AU98" s="219" t="e">
        <f t="shared" si="50"/>
        <v>#N/A</v>
      </c>
      <c r="AV98" s="83">
        <f t="shared" si="55"/>
        <v>1739.5501915236387</v>
      </c>
      <c r="AW98" s="85" t="e">
        <f t="shared" si="56"/>
        <v>#DIV/0!</v>
      </c>
      <c r="AX98" s="1">
        <f t="shared" si="57"/>
        <v>882.47865847193748</v>
      </c>
      <c r="AY98" s="85" t="e">
        <f t="shared" si="58"/>
        <v>#DIV/0!</v>
      </c>
      <c r="AZ98" s="1">
        <f t="shared" si="59"/>
        <v>9374.2541146130134</v>
      </c>
      <c r="BA98" s="85" t="e">
        <f t="shared" si="60"/>
        <v>#DIV/0!</v>
      </c>
      <c r="BB98" s="1">
        <f t="shared" si="61"/>
        <v>223639.6929318984</v>
      </c>
      <c r="BC98" s="85" t="e">
        <f t="shared" si="62"/>
        <v>#DIV/0!</v>
      </c>
    </row>
    <row r="99" spans="1:55" hidden="1" x14ac:dyDescent="0.25">
      <c r="A99" s="37">
        <f t="shared" si="51"/>
        <v>87</v>
      </c>
      <c r="B99" s="142">
        <f t="shared" si="39"/>
        <v>8987.1960970115215</v>
      </c>
      <c r="C99" s="27"/>
      <c r="D99" s="65">
        <f t="shared" si="40"/>
        <v>0.08</v>
      </c>
      <c r="E99" s="67">
        <v>0.08</v>
      </c>
      <c r="F99" s="67">
        <v>0.10882509305777746</v>
      </c>
      <c r="G99" s="66">
        <f t="shared" ca="1" si="41"/>
        <v>0.10882509305777746</v>
      </c>
      <c r="H99" s="67">
        <v>-7.1985816743836833E-2</v>
      </c>
      <c r="I99" s="66">
        <f t="shared" ca="1" si="42"/>
        <v>-7.1985816743836833E-2</v>
      </c>
      <c r="J99" s="67">
        <v>-0.11568748275330373</v>
      </c>
      <c r="K99" s="66">
        <f t="shared" ca="1" si="43"/>
        <v>-0.11568748275330373</v>
      </c>
      <c r="L99" s="65">
        <f t="shared" ca="1" si="44"/>
        <v>0.27971468324023341</v>
      </c>
      <c r="M99" s="67">
        <v>0.27971468324023341</v>
      </c>
      <c r="N99" s="27"/>
      <c r="O99" s="26">
        <f t="shared" si="52"/>
        <v>-783641</v>
      </c>
      <c r="P99" s="26">
        <f t="shared" si="45"/>
        <v>28683</v>
      </c>
      <c r="Q99" s="26">
        <f t="shared" si="46"/>
        <v>23680</v>
      </c>
      <c r="R99" s="26">
        <f t="shared" si="47"/>
        <v>132176</v>
      </c>
      <c r="S99" s="36">
        <f t="shared" si="48"/>
        <v>4358985</v>
      </c>
      <c r="T99" s="73"/>
      <c r="U99" s="78"/>
      <c r="V99" s="78"/>
      <c r="W99" s="26"/>
      <c r="X99" s="26"/>
      <c r="Y99" s="26"/>
      <c r="Z99" s="26"/>
      <c r="AA99" s="26"/>
      <c r="AB99" s="26"/>
      <c r="AC99" s="73"/>
      <c r="AD99" s="37">
        <f t="shared" si="53"/>
        <v>87</v>
      </c>
      <c r="AE99" s="6"/>
      <c r="AL99" s="219">
        <f>(1+alloc1*Simulator!E99+alloc2*Simulator!F99+alloc3*Simulator!H99+alloc4*Simulator!J99+alloc5*Simulator!M99)</f>
        <v>1.0528880660057034</v>
      </c>
      <c r="AM99" s="215">
        <f>IF(SUM($AM$13:AM98)&lt;&gt;0,0,IF(O99&lt;0,B99-O98,0))</f>
        <v>0</v>
      </c>
      <c r="AN99" s="12">
        <f t="shared" si="54"/>
        <v>0</v>
      </c>
      <c r="AQ99" s="145"/>
      <c r="AR99" s="145" t="e">
        <f t="shared" si="63"/>
        <v>#N/A</v>
      </c>
      <c r="AS99" s="146" t="e">
        <f t="shared" si="49"/>
        <v>#N/A</v>
      </c>
      <c r="AT99" s="220" t="e">
        <f>IF(AQ99&lt;&gt;0,IF((AT98-B99)*(1+alloc1*Simulator!E99+alloc2*Simulator!F99+alloc3*Simulator!H99+alloc4*Simulator!J99+alloc5*Simulator!M99)&lt;0,NA(),(AT98-B99)*(1+alloc1*Simulator!E99+alloc2*Simulator!F99+alloc3*Simulator!H99+alloc4*Simulator!J99+alloc5*Simulator!M99)),NA())</f>
        <v>#N/A</v>
      </c>
      <c r="AU99" s="219" t="e">
        <f t="shared" si="50"/>
        <v>#N/A</v>
      </c>
      <c r="AV99" s="83">
        <f t="shared" si="55"/>
        <v>1928.8569029948733</v>
      </c>
      <c r="AW99" s="85" t="e">
        <f t="shared" si="56"/>
        <v>#DIV/0!</v>
      </c>
      <c r="AX99" s="1">
        <f t="shared" si="57"/>
        <v>818.95271148282961</v>
      </c>
      <c r="AY99" s="85" t="e">
        <f t="shared" si="58"/>
        <v>#DIV/0!</v>
      </c>
      <c r="AZ99" s="1">
        <f t="shared" si="59"/>
        <v>8289.7702534036343</v>
      </c>
      <c r="BA99" s="85" t="e">
        <f t="shared" si="60"/>
        <v>#DIV/0!</v>
      </c>
      <c r="BB99" s="1">
        <f t="shared" si="61"/>
        <v>286194.99880028743</v>
      </c>
      <c r="BC99" s="85" t="e">
        <f t="shared" si="62"/>
        <v>#DIV/0!</v>
      </c>
    </row>
    <row r="100" spans="1:55" hidden="1" x14ac:dyDescent="0.25">
      <c r="A100" s="37">
        <f t="shared" si="51"/>
        <v>88</v>
      </c>
      <c r="B100" s="142">
        <f t="shared" si="39"/>
        <v>9706.1717847724449</v>
      </c>
      <c r="C100" s="27"/>
      <c r="D100" s="65">
        <f t="shared" si="40"/>
        <v>0.08</v>
      </c>
      <c r="E100" s="67">
        <v>0.08</v>
      </c>
      <c r="F100" s="67">
        <v>0.13329215998572017</v>
      </c>
      <c r="G100" s="66">
        <f t="shared" ca="1" si="41"/>
        <v>0.13329215998572017</v>
      </c>
      <c r="H100" s="67">
        <v>0.1888442043065067</v>
      </c>
      <c r="I100" s="66">
        <f t="shared" ca="1" si="42"/>
        <v>0.1888442043065067</v>
      </c>
      <c r="J100" s="67">
        <v>0.16977577849474834</v>
      </c>
      <c r="K100" s="66">
        <f t="shared" ca="1" si="43"/>
        <v>0.16977577849474834</v>
      </c>
      <c r="L100" s="65">
        <f t="shared" ca="1" si="44"/>
        <v>-4.5426798240425253E-2</v>
      </c>
      <c r="M100" s="67">
        <v>-4.5426798240425253E-2</v>
      </c>
      <c r="N100" s="27"/>
      <c r="O100" s="26">
        <f t="shared" si="52"/>
        <v>-856815</v>
      </c>
      <c r="P100" s="26">
        <f t="shared" si="45"/>
        <v>32506</v>
      </c>
      <c r="Q100" s="26">
        <f t="shared" si="46"/>
        <v>28152</v>
      </c>
      <c r="R100" s="26">
        <f t="shared" si="47"/>
        <v>154616</v>
      </c>
      <c r="S100" s="36">
        <f t="shared" si="48"/>
        <v>4160970</v>
      </c>
      <c r="T100" s="73"/>
      <c r="U100" s="78"/>
      <c r="V100" s="78"/>
      <c r="W100" s="26"/>
      <c r="X100" s="26"/>
      <c r="Y100" s="26"/>
      <c r="Z100" s="26"/>
      <c r="AA100" s="26"/>
      <c r="AB100" s="26"/>
      <c r="AC100" s="73"/>
      <c r="AD100" s="37">
        <f t="shared" si="53"/>
        <v>88</v>
      </c>
      <c r="AE100" s="6"/>
      <c r="AL100" s="219">
        <f>(1+alloc1*Simulator!E100+alloc2*Simulator!F100+alloc3*Simulator!H100+alloc4*Simulator!J100+alloc5*Simulator!M100)</f>
        <v>1.1035329548853057</v>
      </c>
      <c r="AM100" s="215">
        <f>IF(SUM($AM$13:AM99)&lt;&gt;0,0,IF(O100&lt;0,B100-O99,0))</f>
        <v>0</v>
      </c>
      <c r="AN100" s="12">
        <f t="shared" si="54"/>
        <v>0</v>
      </c>
      <c r="AQ100" s="145"/>
      <c r="AR100" s="145" t="e">
        <f t="shared" si="63"/>
        <v>#N/A</v>
      </c>
      <c r="AS100" s="146" t="e">
        <f t="shared" si="49"/>
        <v>#N/A</v>
      </c>
      <c r="AT100" s="220" t="e">
        <f>IF(AQ100&lt;&gt;0,IF((AT99-B100)*(1+alloc1*Simulator!E100+alloc2*Simulator!F100+alloc3*Simulator!H100+alloc4*Simulator!J100+alloc5*Simulator!M100)&lt;0,NA(),(AT99-B100)*(1+alloc1*Simulator!E100+alloc2*Simulator!F100+alloc3*Simulator!H100+alloc4*Simulator!J100+alloc5*Simulator!M100)),NA())</f>
        <v>#N/A</v>
      </c>
      <c r="AU100" s="219" t="e">
        <f t="shared" si="50"/>
        <v>#N/A</v>
      </c>
      <c r="AV100" s="83">
        <f t="shared" si="55"/>
        <v>2185.9584058984269</v>
      </c>
      <c r="AW100" s="85" t="e">
        <f t="shared" si="56"/>
        <v>#DIV/0!</v>
      </c>
      <c r="AX100" s="1">
        <f t="shared" si="57"/>
        <v>973.6071846474606</v>
      </c>
      <c r="AY100" s="85" t="e">
        <f t="shared" si="58"/>
        <v>#DIV/0!</v>
      </c>
      <c r="AZ100" s="1">
        <f t="shared" si="59"/>
        <v>9697.1724517178427</v>
      </c>
      <c r="BA100" s="85" t="e">
        <f t="shared" si="60"/>
        <v>#DIV/0!</v>
      </c>
      <c r="BB100" s="1">
        <f t="shared" si="61"/>
        <v>273194.07633236801</v>
      </c>
      <c r="BC100" s="85" t="e">
        <f t="shared" si="62"/>
        <v>#DIV/0!</v>
      </c>
    </row>
    <row r="101" spans="1:55" hidden="1" x14ac:dyDescent="0.25">
      <c r="A101" s="37">
        <f t="shared" si="51"/>
        <v>89</v>
      </c>
      <c r="B101" s="142">
        <f t="shared" si="39"/>
        <v>10482.665527554242</v>
      </c>
      <c r="C101" s="27"/>
      <c r="D101" s="65">
        <f t="shared" si="40"/>
        <v>0.08</v>
      </c>
      <c r="E101" s="67">
        <v>0.08</v>
      </c>
      <c r="F101" s="67">
        <v>0.11307515866033682</v>
      </c>
      <c r="G101" s="66">
        <f t="shared" ca="1" si="41"/>
        <v>0.11307515866033682</v>
      </c>
      <c r="H101" s="67">
        <v>0.16158654109902579</v>
      </c>
      <c r="I101" s="66">
        <f t="shared" ca="1" si="42"/>
        <v>0.16158654109902579</v>
      </c>
      <c r="J101" s="67">
        <v>0.416335305408918</v>
      </c>
      <c r="K101" s="66">
        <f t="shared" ca="1" si="43"/>
        <v>0.416335305408918</v>
      </c>
      <c r="L101" s="65">
        <f t="shared" ca="1" si="44"/>
        <v>7.761013236203318E-3</v>
      </c>
      <c r="M101" s="67">
        <v>7.761013236203318E-3</v>
      </c>
      <c r="N101" s="27"/>
      <c r="O101" s="26">
        <f t="shared" si="52"/>
        <v>-936681</v>
      </c>
      <c r="P101" s="26">
        <f t="shared" si="45"/>
        <v>36182</v>
      </c>
      <c r="Q101" s="26">
        <f t="shared" si="46"/>
        <v>32701</v>
      </c>
      <c r="R101" s="26">
        <f t="shared" si="47"/>
        <v>218988</v>
      </c>
      <c r="S101" s="36">
        <f t="shared" si="48"/>
        <v>4193263</v>
      </c>
      <c r="T101" s="73"/>
      <c r="U101" s="78"/>
      <c r="V101" s="78"/>
      <c r="W101" s="26"/>
      <c r="X101" s="26"/>
      <c r="Y101" s="26"/>
      <c r="Z101" s="26"/>
      <c r="AA101" s="26"/>
      <c r="AB101" s="26"/>
      <c r="AC101" s="73"/>
      <c r="AD101" s="37">
        <f t="shared" si="53"/>
        <v>89</v>
      </c>
      <c r="AE101" s="6"/>
      <c r="AL101" s="219">
        <f>(1+alloc1*Simulator!E101+alloc2*Simulator!F101+alloc3*Simulator!H101+alloc4*Simulator!J101+alloc5*Simulator!M101)</f>
        <v>1.126034455950351</v>
      </c>
      <c r="AM101" s="215">
        <f>IF(SUM($AM$13:AM100)&lt;&gt;0,0,IF(O101&lt;0,B101-O100,0))</f>
        <v>0</v>
      </c>
      <c r="AN101" s="12">
        <f t="shared" si="54"/>
        <v>0</v>
      </c>
      <c r="AQ101" s="145"/>
      <c r="AR101" s="145" t="e">
        <f t="shared" si="63"/>
        <v>#N/A</v>
      </c>
      <c r="AS101" s="146" t="e">
        <f t="shared" si="49"/>
        <v>#N/A</v>
      </c>
      <c r="AT101" s="220" t="e">
        <f>IF(AQ101&lt;&gt;0,IF((AT100-B101)*(1+alloc1*Simulator!E101+alloc2*Simulator!F101+alloc3*Simulator!H101+alloc4*Simulator!J101+alloc5*Simulator!M101)&lt;0,NA(),(AT100-B101)*(1+alloc1*Simulator!E101+alloc2*Simulator!F101+alloc3*Simulator!H101+alloc4*Simulator!J101+alloc5*Simulator!M101)),NA())</f>
        <v>#N/A</v>
      </c>
      <c r="AU101" s="219" t="e">
        <f t="shared" si="50"/>
        <v>#N/A</v>
      </c>
      <c r="AV101" s="83">
        <f t="shared" si="55"/>
        <v>2433.1359994702889</v>
      </c>
      <c r="AW101" s="85" t="e">
        <f t="shared" si="56"/>
        <v>#DIV/0!</v>
      </c>
      <c r="AX101" s="1">
        <f t="shared" si="57"/>
        <v>1130.9290020038043</v>
      </c>
      <c r="AY101" s="85" t="e">
        <f t="shared" si="58"/>
        <v>#DIV/0!</v>
      </c>
      <c r="AZ101" s="1">
        <f t="shared" si="59"/>
        <v>13734.447706006737</v>
      </c>
      <c r="BA101" s="85" t="e">
        <f t="shared" si="60"/>
        <v>#DIV/0!</v>
      </c>
      <c r="BB101" s="1">
        <f t="shared" si="61"/>
        <v>275314.33917483588</v>
      </c>
      <c r="BC101" s="85" t="e">
        <f t="shared" si="62"/>
        <v>#DIV/0!</v>
      </c>
    </row>
    <row r="102" spans="1:55" hidden="1" x14ac:dyDescent="0.25">
      <c r="A102" s="37">
        <f t="shared" si="51"/>
        <v>90</v>
      </c>
      <c r="B102" s="142">
        <f t="shared" si="39"/>
        <v>11321.278769758583</v>
      </c>
      <c r="C102" s="27"/>
      <c r="D102" s="65">
        <f t="shared" si="40"/>
        <v>0.08</v>
      </c>
      <c r="E102" s="67">
        <v>0.08</v>
      </c>
      <c r="F102" s="67">
        <v>7.832720011764592E-2</v>
      </c>
      <c r="G102" s="66">
        <f t="shared" ca="1" si="41"/>
        <v>7.832720011764592E-2</v>
      </c>
      <c r="H102" s="67">
        <v>0.1518641848441572</v>
      </c>
      <c r="I102" s="66">
        <f t="shared" ca="1" si="42"/>
        <v>0.1518641848441572</v>
      </c>
      <c r="J102" s="67">
        <v>0.19842134968660974</v>
      </c>
      <c r="K102" s="66">
        <f t="shared" ca="1" si="43"/>
        <v>0.19842134968660974</v>
      </c>
      <c r="L102" s="65">
        <f t="shared" ca="1" si="44"/>
        <v>0.17416942797884877</v>
      </c>
      <c r="M102" s="67">
        <v>0.17416942797884877</v>
      </c>
      <c r="N102" s="27"/>
      <c r="O102" s="26">
        <f t="shared" si="52"/>
        <v>-1023842</v>
      </c>
      <c r="P102" s="26">
        <f t="shared" si="45"/>
        <v>39016</v>
      </c>
      <c r="Q102" s="26">
        <f t="shared" si="46"/>
        <v>37667</v>
      </c>
      <c r="R102" s="26">
        <f t="shared" si="47"/>
        <v>262440</v>
      </c>
      <c r="S102" s="36">
        <f t="shared" si="48"/>
        <v>4923601</v>
      </c>
      <c r="T102" s="73"/>
      <c r="U102" s="78"/>
      <c r="V102" s="78"/>
      <c r="W102" s="26"/>
      <c r="X102" s="26"/>
      <c r="Y102" s="26"/>
      <c r="Z102" s="26"/>
      <c r="AA102" s="26"/>
      <c r="AB102" s="26"/>
      <c r="AC102" s="73"/>
      <c r="AD102" s="37">
        <f t="shared" si="53"/>
        <v>90</v>
      </c>
      <c r="AE102" s="6"/>
      <c r="AL102" s="219">
        <f>(1+alloc1*Simulator!E102+alloc2*Simulator!F102+alloc3*Simulator!H102+alloc4*Simulator!J102+alloc5*Simulator!M102)</f>
        <v>1.115464634747142</v>
      </c>
      <c r="AM102" s="215">
        <f>IF(SUM($AM$13:AM101)&lt;&gt;0,0,IF(O102&lt;0,B102-O101,0))</f>
        <v>0</v>
      </c>
      <c r="AN102" s="12">
        <f t="shared" si="54"/>
        <v>0</v>
      </c>
      <c r="AQ102" s="145"/>
      <c r="AR102" s="145" t="e">
        <f t="shared" si="63"/>
        <v>#N/A</v>
      </c>
      <c r="AS102" s="146" t="e">
        <f t="shared" si="49"/>
        <v>#N/A</v>
      </c>
      <c r="AT102" s="220" t="e">
        <f>IF(AQ102&lt;&gt;0,IF((AT101-B102)*(1+alloc1*Simulator!E102+alloc2*Simulator!F102+alloc3*Simulator!H102+alloc4*Simulator!J102+alloc5*Simulator!M102)&lt;0,NA(),(AT101-B102)*(1+alloc1*Simulator!E102+alloc2*Simulator!F102+alloc3*Simulator!H102+alloc4*Simulator!J102+alloc5*Simulator!M102)),NA())</f>
        <v>#N/A</v>
      </c>
      <c r="AU102" s="219" t="e">
        <f t="shared" si="50"/>
        <v>#N/A</v>
      </c>
      <c r="AV102" s="83">
        <f t="shared" si="55"/>
        <v>2623.7167298142463</v>
      </c>
      <c r="AW102" s="85" t="e">
        <f t="shared" si="56"/>
        <v>#DIV/0!</v>
      </c>
      <c r="AX102" s="1">
        <f t="shared" si="57"/>
        <v>1302.676613009728</v>
      </c>
      <c r="AY102" s="85" t="e">
        <f t="shared" si="58"/>
        <v>#DIV/0!</v>
      </c>
      <c r="AZ102" s="1">
        <f t="shared" si="59"/>
        <v>16459.655357032752</v>
      </c>
      <c r="BA102" s="85" t="e">
        <f t="shared" si="60"/>
        <v>#DIV/0!</v>
      </c>
      <c r="BB102" s="1">
        <f t="shared" si="61"/>
        <v>323265.68014329183</v>
      </c>
      <c r="BC102" s="85" t="e">
        <f t="shared" si="62"/>
        <v>#DIV/0!</v>
      </c>
    </row>
    <row r="103" spans="1:55" hidden="1" x14ac:dyDescent="0.25">
      <c r="A103" s="37">
        <f t="shared" si="51"/>
        <v>91</v>
      </c>
      <c r="B103" s="142">
        <f t="shared" si="39"/>
        <v>12226.981071339267</v>
      </c>
      <c r="C103" s="27"/>
      <c r="D103" s="65">
        <f t="shared" si="40"/>
        <v>0.08</v>
      </c>
      <c r="E103" s="67">
        <v>0.08</v>
      </c>
      <c r="F103" s="67">
        <v>8.2687920553373595E-2</v>
      </c>
      <c r="G103" s="66">
        <f t="shared" ca="1" si="41"/>
        <v>8.2687920553373595E-2</v>
      </c>
      <c r="H103" s="67">
        <v>0.19842993454220259</v>
      </c>
      <c r="I103" s="66">
        <f t="shared" ca="1" si="42"/>
        <v>0.19842993454220259</v>
      </c>
      <c r="J103" s="67">
        <v>0.56103509542694507</v>
      </c>
      <c r="K103" s="66">
        <f t="shared" ca="1" si="43"/>
        <v>0.56103509542694507</v>
      </c>
      <c r="L103" s="65">
        <f t="shared" ca="1" si="44"/>
        <v>-3.6646811285651448E-2</v>
      </c>
      <c r="M103" s="67">
        <v>-3.6646811285651448E-2</v>
      </c>
      <c r="N103" s="27"/>
      <c r="O103" s="26">
        <f t="shared" si="52"/>
        <v>-1118954</v>
      </c>
      <c r="P103" s="26">
        <f t="shared" si="45"/>
        <v>42242</v>
      </c>
      <c r="Q103" s="26">
        <f t="shared" si="46"/>
        <v>45141</v>
      </c>
      <c r="R103" s="26">
        <f t="shared" si="47"/>
        <v>409678</v>
      </c>
      <c r="S103" s="36">
        <f t="shared" si="48"/>
        <v>4743167</v>
      </c>
      <c r="T103" s="73"/>
      <c r="U103" s="78"/>
      <c r="V103" s="78"/>
      <c r="W103" s="26"/>
      <c r="X103" s="26"/>
      <c r="Y103" s="26"/>
      <c r="Z103" s="26"/>
      <c r="AA103" s="26"/>
      <c r="AB103" s="26"/>
      <c r="AC103" s="73"/>
      <c r="AD103" s="37">
        <f t="shared" si="53"/>
        <v>91</v>
      </c>
      <c r="AE103" s="6"/>
      <c r="AL103" s="219">
        <f>(1+alloc1*Simulator!E103+alloc2*Simulator!F103+alloc3*Simulator!H103+alloc4*Simulator!J103+alloc5*Simulator!M103)</f>
        <v>1.1403936073779071</v>
      </c>
      <c r="AM103" s="215">
        <f>IF(SUM($AM$13:AM102)&lt;&gt;0,0,IF(O103&lt;0,B103-O102,0))</f>
        <v>0</v>
      </c>
      <c r="AN103" s="12">
        <f t="shared" si="54"/>
        <v>0</v>
      </c>
      <c r="AQ103" s="145"/>
      <c r="AR103" s="145" t="e">
        <f t="shared" si="63"/>
        <v>#N/A</v>
      </c>
      <c r="AS103" s="146" t="e">
        <f t="shared" si="49"/>
        <v>#N/A</v>
      </c>
      <c r="AT103" s="220" t="e">
        <f>IF(AQ103&lt;&gt;0,IF((AT102-B103)*(1+alloc1*Simulator!E103+alloc2*Simulator!F103+alloc3*Simulator!H103+alloc4*Simulator!J103+alloc5*Simulator!M103)&lt;0,NA(),(AT102-B103)*(1+alloc1*Simulator!E103+alloc2*Simulator!F103+alloc3*Simulator!H103+alloc4*Simulator!J103+alloc5*Simulator!M103)),NA())</f>
        <v>#N/A</v>
      </c>
      <c r="AU103" s="219" t="e">
        <f t="shared" si="50"/>
        <v>#N/A</v>
      </c>
      <c r="AV103" s="83">
        <f t="shared" si="55"/>
        <v>2840.6664103236835</v>
      </c>
      <c r="AW103" s="85" t="e">
        <f t="shared" si="56"/>
        <v>#DIV/0!</v>
      </c>
      <c r="AX103" s="1">
        <f t="shared" si="57"/>
        <v>1561.1666480589067</v>
      </c>
      <c r="AY103" s="85" t="e">
        <f t="shared" si="58"/>
        <v>#DIV/0!</v>
      </c>
      <c r="AZ103" s="1">
        <f t="shared" si="59"/>
        <v>25694.099670960248</v>
      </c>
      <c r="BA103" s="85" t="e">
        <f t="shared" si="60"/>
        <v>#DIV/0!</v>
      </c>
      <c r="BB103" s="1">
        <f t="shared" si="61"/>
        <v>311419.02376795281</v>
      </c>
      <c r="BC103" s="85" t="e">
        <f t="shared" si="62"/>
        <v>#DIV/0!</v>
      </c>
    </row>
    <row r="104" spans="1:55" hidden="1" x14ac:dyDescent="0.25">
      <c r="A104" s="37">
        <f t="shared" si="51"/>
        <v>92</v>
      </c>
      <c r="B104" s="142">
        <f t="shared" si="39"/>
        <v>13205.139557046408</v>
      </c>
      <c r="C104" s="27"/>
      <c r="D104" s="65">
        <f t="shared" si="40"/>
        <v>0.08</v>
      </c>
      <c r="E104" s="67">
        <v>0.08</v>
      </c>
      <c r="F104" s="67">
        <v>7.4187642636066087E-2</v>
      </c>
      <c r="G104" s="66">
        <f t="shared" ca="1" si="41"/>
        <v>7.4187642636066087E-2</v>
      </c>
      <c r="H104" s="67">
        <v>-3.2512783144620222E-2</v>
      </c>
      <c r="I104" s="66">
        <f t="shared" ca="1" si="42"/>
        <v>-3.2512783144620222E-2</v>
      </c>
      <c r="J104" s="67">
        <v>0.4298025552010995</v>
      </c>
      <c r="K104" s="66">
        <f t="shared" ca="1" si="43"/>
        <v>0.4298025552010995</v>
      </c>
      <c r="L104" s="65">
        <f t="shared" ca="1" si="44"/>
        <v>0.55544213855084479</v>
      </c>
      <c r="M104" s="67">
        <v>0.55544213855084479</v>
      </c>
      <c r="N104" s="27"/>
      <c r="O104" s="26">
        <f t="shared" si="52"/>
        <v>-1222732</v>
      </c>
      <c r="P104" s="26">
        <f t="shared" si="45"/>
        <v>45376</v>
      </c>
      <c r="Q104" s="26">
        <f t="shared" si="46"/>
        <v>43673</v>
      </c>
      <c r="R104" s="26">
        <f t="shared" si="47"/>
        <v>585759</v>
      </c>
      <c r="S104" s="36">
        <f t="shared" si="48"/>
        <v>7377722</v>
      </c>
      <c r="T104" s="73"/>
      <c r="U104" s="78"/>
      <c r="V104" s="78"/>
      <c r="W104" s="26"/>
      <c r="X104" s="26"/>
      <c r="Y104" s="26"/>
      <c r="Z104" s="26"/>
      <c r="AA104" s="26"/>
      <c r="AB104" s="26"/>
      <c r="AC104" s="73"/>
      <c r="AD104" s="37">
        <f t="shared" si="53"/>
        <v>92</v>
      </c>
      <c r="AE104" s="6"/>
      <c r="AL104" s="219">
        <f>(1+alloc1*Simulator!E104+alloc2*Simulator!F104+alloc3*Simulator!H104+alloc4*Simulator!J104+alloc5*Simulator!M104)</f>
        <v>1.1394406770098771</v>
      </c>
      <c r="AM104" s="215">
        <f>IF(SUM($AM$13:AM103)&lt;&gt;0,0,IF(O104&lt;0,B104-O103,0))</f>
        <v>0</v>
      </c>
      <c r="AN104" s="12">
        <f t="shared" si="54"/>
        <v>0</v>
      </c>
      <c r="AQ104" s="145"/>
      <c r="AR104" s="145" t="e">
        <f t="shared" si="63"/>
        <v>#N/A</v>
      </c>
      <c r="AS104" s="146" t="e">
        <f t="shared" si="49"/>
        <v>#N/A</v>
      </c>
      <c r="AT104" s="220" t="e">
        <f>IF(AQ104&lt;&gt;0,IF((AT103-B104)*(1+alloc1*Simulator!E104+alloc2*Simulator!F104+alloc3*Simulator!H104+alloc4*Simulator!J104+alloc5*Simulator!M104)&lt;0,NA(),(AT103-B104)*(1+alloc1*Simulator!E104+alloc2*Simulator!F104+alloc3*Simulator!H104+alloc4*Simulator!J104+alloc5*Simulator!M104)),NA())</f>
        <v>#N/A</v>
      </c>
      <c r="AU104" s="219" t="e">
        <f t="shared" si="50"/>
        <v>#N/A</v>
      </c>
      <c r="AV104" s="83">
        <f t="shared" si="55"/>
        <v>3051.4087548210537</v>
      </c>
      <c r="AW104" s="85" t="e">
        <f t="shared" si="56"/>
        <v>#DIV/0!</v>
      </c>
      <c r="AX104" s="1">
        <f t="shared" si="57"/>
        <v>1510.4087753779538</v>
      </c>
      <c r="AY104" s="85" t="e">
        <f t="shared" si="58"/>
        <v>#DIV/0!</v>
      </c>
      <c r="AZ104" s="1">
        <f t="shared" si="59"/>
        <v>36737.489363130691</v>
      </c>
      <c r="BA104" s="85" t="e">
        <f t="shared" si="60"/>
        <v>#DIV/0!</v>
      </c>
      <c r="BB104" s="1">
        <f t="shared" si="61"/>
        <v>484394.27231504087</v>
      </c>
      <c r="BC104" s="85" t="e">
        <f t="shared" si="62"/>
        <v>#DIV/0!</v>
      </c>
    </row>
    <row r="105" spans="1:55" hidden="1" x14ac:dyDescent="0.25">
      <c r="A105" s="37">
        <f t="shared" si="51"/>
        <v>93</v>
      </c>
      <c r="B105" s="142">
        <f t="shared" si="39"/>
        <v>14261.550721610121</v>
      </c>
      <c r="C105" s="27"/>
      <c r="D105" s="65">
        <f t="shared" si="40"/>
        <v>0.08</v>
      </c>
      <c r="E105" s="67">
        <v>0.08</v>
      </c>
      <c r="F105" s="67">
        <v>6.6079642476767064E-2</v>
      </c>
      <c r="G105" s="66">
        <f t="shared" ca="1" si="41"/>
        <v>6.6079642476767064E-2</v>
      </c>
      <c r="H105" s="67">
        <v>0.31726501646130789</v>
      </c>
      <c r="I105" s="66">
        <f t="shared" ca="1" si="42"/>
        <v>0.31726501646130789</v>
      </c>
      <c r="J105" s="67">
        <v>0.49678588724921247</v>
      </c>
      <c r="K105" s="66">
        <f t="shared" ca="1" si="43"/>
        <v>0.49678588724921247</v>
      </c>
      <c r="L105" s="65">
        <f t="shared" ca="1" si="44"/>
        <v>-9.6379023232032873E-2</v>
      </c>
      <c r="M105" s="67">
        <v>-9.6379023232032873E-2</v>
      </c>
      <c r="N105" s="27"/>
      <c r="O105" s="26">
        <f t="shared" si="52"/>
        <v>-1335953</v>
      </c>
      <c r="P105" s="26">
        <f t="shared" si="45"/>
        <v>48374</v>
      </c>
      <c r="Q105" s="26">
        <f t="shared" si="46"/>
        <v>57529</v>
      </c>
      <c r="R105" s="26">
        <f t="shared" si="47"/>
        <v>876756</v>
      </c>
      <c r="S105" s="36">
        <f t="shared" si="48"/>
        <v>6666664</v>
      </c>
      <c r="T105" s="73"/>
      <c r="U105" s="78"/>
      <c r="V105" s="78"/>
      <c r="W105" s="26"/>
      <c r="X105" s="26"/>
      <c r="Y105" s="26"/>
      <c r="Z105" s="26"/>
      <c r="AA105" s="26"/>
      <c r="AB105" s="26"/>
      <c r="AC105" s="73"/>
      <c r="AD105" s="37">
        <f t="shared" si="53"/>
        <v>93</v>
      </c>
      <c r="AE105" s="6"/>
      <c r="AL105" s="219">
        <f>(1+alloc1*Simulator!E105+alloc2*Simulator!F105+alloc3*Simulator!H105+alloc4*Simulator!J105+alloc5*Simulator!M105)</f>
        <v>1.150101653941656</v>
      </c>
      <c r="AM105" s="215">
        <f>IF(SUM($AM$13:AM104)&lt;&gt;0,0,IF(O105&lt;0,B105-O104,0))</f>
        <v>0</v>
      </c>
      <c r="AN105" s="12">
        <f t="shared" si="54"/>
        <v>0</v>
      </c>
      <c r="AQ105" s="145"/>
      <c r="AR105" s="145" t="e">
        <f t="shared" si="63"/>
        <v>#N/A</v>
      </c>
      <c r="AS105" s="146" t="e">
        <f t="shared" si="49"/>
        <v>#N/A</v>
      </c>
      <c r="AT105" s="220" t="e">
        <f>IF(AQ105&lt;&gt;0,IF((AT104-B105)*(1+alloc1*Simulator!E105+alloc2*Simulator!F105+alloc3*Simulator!H105+alloc4*Simulator!J105+alloc5*Simulator!M105)&lt;0,NA(),(AT104-B105)*(1+alloc1*Simulator!E105+alloc2*Simulator!F105+alloc3*Simulator!H105+alloc4*Simulator!J105+alloc5*Simulator!M105)),NA())</f>
        <v>#N/A</v>
      </c>
      <c r="AU105" s="219" t="e">
        <f t="shared" si="50"/>
        <v>#N/A</v>
      </c>
      <c r="AV105" s="83">
        <f t="shared" si="55"/>
        <v>3253.0447543901059</v>
      </c>
      <c r="AW105" s="85" t="e">
        <f t="shared" si="56"/>
        <v>#DIV/0!</v>
      </c>
      <c r="AX105" s="1">
        <f t="shared" si="57"/>
        <v>1989.6086403615441</v>
      </c>
      <c r="AY105" s="85" t="e">
        <f t="shared" si="58"/>
        <v>#DIV/0!</v>
      </c>
      <c r="AZ105" s="1">
        <f t="shared" si="59"/>
        <v>54988.155611702074</v>
      </c>
      <c r="BA105" s="85" t="e">
        <f t="shared" si="60"/>
        <v>#DIV/0!</v>
      </c>
      <c r="BB105" s="1">
        <f t="shared" si="61"/>
        <v>437708.82549012592</v>
      </c>
      <c r="BC105" s="85" t="e">
        <f t="shared" si="62"/>
        <v>#DIV/0!</v>
      </c>
    </row>
    <row r="106" spans="1:55" hidden="1" x14ac:dyDescent="0.25">
      <c r="A106" s="37">
        <f t="shared" si="51"/>
        <v>94</v>
      </c>
      <c r="B106" s="142">
        <f t="shared" si="39"/>
        <v>15402.474779338932</v>
      </c>
      <c r="C106" s="27"/>
      <c r="D106" s="65">
        <f t="shared" si="40"/>
        <v>0.08</v>
      </c>
      <c r="E106" s="67">
        <v>0.08</v>
      </c>
      <c r="F106" s="67">
        <v>7.9491790986163588E-2</v>
      </c>
      <c r="G106" s="66">
        <f t="shared" ca="1" si="41"/>
        <v>7.9491790986163588E-2</v>
      </c>
      <c r="H106" s="67">
        <v>0.11262325778569898</v>
      </c>
      <c r="I106" s="66">
        <f t="shared" ca="1" si="42"/>
        <v>0.11262325778569898</v>
      </c>
      <c r="J106" s="67">
        <v>0.2116027913631581</v>
      </c>
      <c r="K106" s="66">
        <f t="shared" ca="1" si="43"/>
        <v>0.2116027913631581</v>
      </c>
      <c r="L106" s="65">
        <f t="shared" ca="1" si="44"/>
        <v>0.37622426656704699</v>
      </c>
      <c r="M106" s="67">
        <v>0.37622426656704699</v>
      </c>
      <c r="N106" s="27"/>
      <c r="O106" s="26">
        <f t="shared" si="52"/>
        <v>-1459464</v>
      </c>
      <c r="P106" s="26">
        <f t="shared" si="45"/>
        <v>52219</v>
      </c>
      <c r="Q106" s="26">
        <f t="shared" si="46"/>
        <v>64008</v>
      </c>
      <c r="R106" s="26">
        <f t="shared" si="47"/>
        <v>1062280</v>
      </c>
      <c r="S106" s="36">
        <f t="shared" si="48"/>
        <v>9174825</v>
      </c>
      <c r="T106" s="73"/>
      <c r="U106" s="78"/>
      <c r="V106" s="78"/>
      <c r="W106" s="26"/>
      <c r="X106" s="26"/>
      <c r="Y106" s="26"/>
      <c r="Z106" s="26"/>
      <c r="AA106" s="26"/>
      <c r="AB106" s="26"/>
      <c r="AC106" s="73"/>
      <c r="AD106" s="37">
        <f t="shared" si="53"/>
        <v>94</v>
      </c>
      <c r="AE106" s="6"/>
      <c r="AL106" s="219">
        <f>(1+alloc1*Simulator!E106+alloc2*Simulator!F106+alloc3*Simulator!H106+alloc4*Simulator!J106+alloc5*Simulator!M106)</f>
        <v>1.1292565364487768</v>
      </c>
      <c r="AM106" s="215">
        <f>IF(SUM($AM$13:AM105)&lt;&gt;0,0,IF(O106&lt;0,B106-O105,0))</f>
        <v>0</v>
      </c>
      <c r="AN106" s="12">
        <f t="shared" si="54"/>
        <v>0</v>
      </c>
      <c r="AQ106" s="145"/>
      <c r="AR106" s="145" t="e">
        <f t="shared" si="63"/>
        <v>#N/A</v>
      </c>
      <c r="AS106" s="146" t="e">
        <f t="shared" si="49"/>
        <v>#N/A</v>
      </c>
      <c r="AT106" s="220" t="e">
        <f>IF(AQ106&lt;&gt;0,IF((AT105-B106)*(1+alloc1*Simulator!E106+alloc2*Simulator!F106+alloc3*Simulator!H106+alloc4*Simulator!J106+alloc5*Simulator!M106)&lt;0,NA(),(AT105-B106)*(1+alloc1*Simulator!E106+alloc2*Simulator!F106+alloc3*Simulator!H106+alloc4*Simulator!J106+alloc5*Simulator!M106)),NA())</f>
        <v>#N/A</v>
      </c>
      <c r="AU106" s="219" t="e">
        <f t="shared" si="50"/>
        <v>#N/A</v>
      </c>
      <c r="AV106" s="83">
        <f t="shared" si="55"/>
        <v>3511.6351080747204</v>
      </c>
      <c r="AW106" s="85" t="e">
        <f t="shared" si="56"/>
        <v>#DIV/0!</v>
      </c>
      <c r="AX106" s="1">
        <f t="shared" si="57"/>
        <v>2213.6848471576363</v>
      </c>
      <c r="AY106" s="85" t="e">
        <f t="shared" si="58"/>
        <v>#DIV/0!</v>
      </c>
      <c r="AZ106" s="1">
        <f t="shared" si="59"/>
        <v>66623.80283104995</v>
      </c>
      <c r="BA106" s="85" t="e">
        <f t="shared" si="60"/>
        <v>#DIV/0!</v>
      </c>
      <c r="BB106" s="1">
        <f t="shared" si="61"/>
        <v>602385.50733007211</v>
      </c>
      <c r="BC106" s="85" t="e">
        <f t="shared" si="62"/>
        <v>#DIV/0!</v>
      </c>
    </row>
    <row r="107" spans="1:55" hidden="1" x14ac:dyDescent="0.25">
      <c r="A107" s="37">
        <f t="shared" si="51"/>
        <v>95</v>
      </c>
      <c r="B107" s="142">
        <f t="shared" si="39"/>
        <v>16634.672761686052</v>
      </c>
      <c r="C107" s="27"/>
      <c r="D107" s="65">
        <f t="shared" si="40"/>
        <v>0.08</v>
      </c>
      <c r="E107" s="67">
        <v>0.08</v>
      </c>
      <c r="F107" s="67">
        <v>0.10073707944489793</v>
      </c>
      <c r="G107" s="66">
        <f t="shared" ca="1" si="41"/>
        <v>0.10073707944489793</v>
      </c>
      <c r="H107" s="67">
        <v>0.17708775774858865</v>
      </c>
      <c r="I107" s="66">
        <f t="shared" ca="1" si="42"/>
        <v>0.17708775774858865</v>
      </c>
      <c r="J107" s="67">
        <v>-0.17121171359428111</v>
      </c>
      <c r="K107" s="66">
        <f t="shared" ca="1" si="43"/>
        <v>-0.17121171359428111</v>
      </c>
      <c r="L107" s="65">
        <f t="shared" ca="1" si="44"/>
        <v>0.35035513598108614</v>
      </c>
      <c r="M107" s="67">
        <v>0.35035513598108614</v>
      </c>
      <c r="N107" s="27"/>
      <c r="O107" s="26">
        <f t="shared" si="52"/>
        <v>-1594187</v>
      </c>
      <c r="P107" s="26">
        <f t="shared" si="45"/>
        <v>57479</v>
      </c>
      <c r="Q107" s="26">
        <f t="shared" si="46"/>
        <v>75343</v>
      </c>
      <c r="R107" s="26">
        <f t="shared" si="47"/>
        <v>880405</v>
      </c>
      <c r="S107" s="36">
        <f t="shared" si="48"/>
        <v>12389272</v>
      </c>
      <c r="T107" s="73"/>
      <c r="U107" s="78"/>
      <c r="V107" s="78"/>
      <c r="W107" s="26"/>
      <c r="X107" s="26"/>
      <c r="Y107" s="26"/>
      <c r="Z107" s="26"/>
      <c r="AA107" s="26"/>
      <c r="AB107" s="26"/>
      <c r="AC107" s="73"/>
      <c r="AD107" s="37">
        <f t="shared" si="53"/>
        <v>95</v>
      </c>
      <c r="AE107" s="6"/>
      <c r="AL107" s="219">
        <f>(1+alloc1*Simulator!E107+alloc2*Simulator!F107+alloc3*Simulator!H107+alloc4*Simulator!J107+alloc5*Simulator!M107)</f>
        <v>1.1034056017328879</v>
      </c>
      <c r="AM107" s="215">
        <f>IF(SUM($AM$13:AM106)&lt;&gt;0,0,IF(O107&lt;0,B107-O106,0))</f>
        <v>0</v>
      </c>
      <c r="AN107" s="12">
        <f t="shared" si="54"/>
        <v>0</v>
      </c>
      <c r="AQ107" s="145"/>
      <c r="AR107" s="145" t="e">
        <f t="shared" si="63"/>
        <v>#N/A</v>
      </c>
      <c r="AS107" s="146" t="e">
        <f t="shared" si="49"/>
        <v>#N/A</v>
      </c>
      <c r="AT107" s="220" t="e">
        <f>IF(AQ107&lt;&gt;0,IF((AT106-B107)*(1+alloc1*Simulator!E107+alloc2*Simulator!F107+alloc3*Simulator!H107+alloc4*Simulator!J107+alloc5*Simulator!M107)&lt;0,NA(),(AT106-B107)*(1+alloc1*Simulator!E107+alloc2*Simulator!F107+alloc3*Simulator!H107+alloc4*Simulator!J107+alloc5*Simulator!M107)),NA())</f>
        <v>#N/A</v>
      </c>
      <c r="AU107" s="219" t="e">
        <f t="shared" si="50"/>
        <v>#N/A</v>
      </c>
      <c r="AV107" s="83">
        <f t="shared" si="55"/>
        <v>3865.3869729383359</v>
      </c>
      <c r="AW107" s="85" t="e">
        <f t="shared" si="56"/>
        <v>#DIV/0!</v>
      </c>
      <c r="AX107" s="1">
        <f t="shared" si="57"/>
        <v>2605.7013331028093</v>
      </c>
      <c r="AY107" s="85" t="e">
        <f t="shared" si="58"/>
        <v>#DIV/0!</v>
      </c>
      <c r="AZ107" s="1">
        <f t="shared" si="59"/>
        <v>55217.02738217837</v>
      </c>
      <c r="BA107" s="85" t="e">
        <f t="shared" si="60"/>
        <v>#DIV/0!</v>
      </c>
      <c r="BB107" s="1">
        <f t="shared" si="61"/>
        <v>813434.3636637351</v>
      </c>
      <c r="BC107" s="85" t="e">
        <f t="shared" si="62"/>
        <v>#DIV/0!</v>
      </c>
    </row>
    <row r="108" spans="1:55" hidden="1" x14ac:dyDescent="0.25">
      <c r="A108" s="37">
        <f t="shared" si="51"/>
        <v>96</v>
      </c>
      <c r="B108" s="142">
        <f t="shared" si="39"/>
        <v>17965.446582620934</v>
      </c>
      <c r="C108" s="27"/>
      <c r="D108" s="65">
        <f t="shared" si="40"/>
        <v>0.08</v>
      </c>
      <c r="E108" s="67">
        <v>0.08</v>
      </c>
      <c r="F108" s="67">
        <v>5.5368026929956175E-2</v>
      </c>
      <c r="G108" s="66">
        <f t="shared" ca="1" si="41"/>
        <v>5.5368026929956175E-2</v>
      </c>
      <c r="H108" s="67">
        <v>0.13443776545666072</v>
      </c>
      <c r="I108" s="66">
        <f t="shared" ca="1" si="42"/>
        <v>0.13443776545666072</v>
      </c>
      <c r="J108" s="67">
        <v>0.42099510200171358</v>
      </c>
      <c r="K108" s="66">
        <f t="shared" ca="1" si="43"/>
        <v>0.42099510200171358</v>
      </c>
      <c r="L108" s="65">
        <f t="shared" ca="1" si="44"/>
        <v>7.4619728881971048E-2</v>
      </c>
      <c r="M108" s="67">
        <v>7.4619728881971048E-2</v>
      </c>
      <c r="N108" s="27"/>
      <c r="O108" s="26">
        <f t="shared" si="52"/>
        <v>-1741125</v>
      </c>
      <c r="P108" s="26">
        <f t="shared" si="45"/>
        <v>60661</v>
      </c>
      <c r="Q108" s="26">
        <f t="shared" si="46"/>
        <v>85472</v>
      </c>
      <c r="R108" s="26">
        <f t="shared" si="47"/>
        <v>1251051</v>
      </c>
      <c r="S108" s="36">
        <f t="shared" si="48"/>
        <v>13313756</v>
      </c>
      <c r="T108" s="73"/>
      <c r="U108" s="78"/>
      <c r="V108" s="78"/>
      <c r="W108" s="26"/>
      <c r="X108" s="26"/>
      <c r="Y108" s="26"/>
      <c r="Z108" s="26"/>
      <c r="AA108" s="26"/>
      <c r="AB108" s="26"/>
      <c r="AC108" s="73"/>
      <c r="AD108" s="37">
        <f t="shared" si="53"/>
        <v>96</v>
      </c>
      <c r="AE108" s="6"/>
      <c r="AL108" s="219">
        <f>(1+alloc1*Simulator!E108+alloc2*Simulator!F108+alloc3*Simulator!H108+alloc4*Simulator!J108+alloc5*Simulator!M108)</f>
        <v>1.1219858388726962</v>
      </c>
      <c r="AM108" s="215">
        <f>IF(SUM($AM$13:AM107)&lt;&gt;0,0,IF(O108&lt;0,B108-O107,0))</f>
        <v>0</v>
      </c>
      <c r="AN108" s="12">
        <f t="shared" si="54"/>
        <v>0</v>
      </c>
      <c r="AQ108" s="145"/>
      <c r="AR108" s="145" t="e">
        <f t="shared" si="63"/>
        <v>#N/A</v>
      </c>
      <c r="AS108" s="146" t="e">
        <f t="shared" si="49"/>
        <v>#N/A</v>
      </c>
      <c r="AT108" s="220" t="e">
        <f>IF(AQ108&lt;&gt;0,IF((AT107-B108)*(1+alloc1*Simulator!E108+alloc2*Simulator!F108+alloc3*Simulator!H108+alloc4*Simulator!J108+alloc5*Simulator!M108)&lt;0,NA(),(AT107-B108)*(1+alloc1*Simulator!E108+alloc2*Simulator!F108+alloc3*Simulator!H108+alloc4*Simulator!J108+alloc5*Simulator!M108)),NA())</f>
        <v>#N/A</v>
      </c>
      <c r="AU108" s="219" t="e">
        <f t="shared" si="50"/>
        <v>#N/A</v>
      </c>
      <c r="AV108" s="83">
        <f t="shared" si="55"/>
        <v>4079.4058229506873</v>
      </c>
      <c r="AW108" s="85" t="e">
        <f t="shared" si="56"/>
        <v>#DIV/0!</v>
      </c>
      <c r="AX108" s="1">
        <f t="shared" si="57"/>
        <v>2956.0059977725928</v>
      </c>
      <c r="AY108" s="85" t="e">
        <f t="shared" si="58"/>
        <v>#DIV/0!</v>
      </c>
      <c r="AZ108" s="1">
        <f t="shared" si="59"/>
        <v>78463.125457169968</v>
      </c>
      <c r="BA108" s="85" t="e">
        <f t="shared" si="60"/>
        <v>#DIV/0!</v>
      </c>
      <c r="BB108" s="1">
        <f t="shared" si="61"/>
        <v>874132.61534360156</v>
      </c>
      <c r="BC108" s="85" t="e">
        <f t="shared" si="62"/>
        <v>#DIV/0!</v>
      </c>
    </row>
    <row r="109" spans="1:55" hidden="1" x14ac:dyDescent="0.25">
      <c r="A109" s="37">
        <f t="shared" si="51"/>
        <v>97</v>
      </c>
      <c r="B109" s="142">
        <f t="shared" ref="B109:B111" si="64">(prepen1*(1+rinf)^(A109-1)/100000)-(pension/100000)-(income*(1+incrate)^(A109-1)/100000)</f>
        <v>19402.682309230611</v>
      </c>
      <c r="C109" s="27"/>
      <c r="D109" s="65">
        <f>IF(E109&lt;&gt;"",E109,_min1)</f>
        <v>0.08</v>
      </c>
      <c r="E109" s="67">
        <v>0.08</v>
      </c>
      <c r="F109" s="67">
        <v>0.1139874320478151</v>
      </c>
      <c r="G109" s="66">
        <f ca="1">IF(F109&lt;&gt;"",F109,NORMINV(RAND(),mean2,stdev2))</f>
        <v>0.1139874320478151</v>
      </c>
      <c r="H109" s="67">
        <v>0.14596071084635631</v>
      </c>
      <c r="I109" s="66">
        <f ca="1">IF(H109&lt;&gt;"",H109,NORMINV(RAND(),mean3,stdev3))</f>
        <v>0.14596071084635631</v>
      </c>
      <c r="J109" s="67">
        <v>0.52723599038033631</v>
      </c>
      <c r="K109" s="66">
        <f ca="1">IF(J109&lt;&gt;"",J109,NORMINV(RAND(),mean4,stdev4))</f>
        <v>0.52723599038033631</v>
      </c>
      <c r="L109" s="65">
        <f ca="1">IF(M109&lt;&gt;"",M109,NORMINV(RAND(),mean5,stdev5))</f>
        <v>-7.6070991363607815E-2</v>
      </c>
      <c r="M109" s="67">
        <v>-7.6070991363607815E-2</v>
      </c>
      <c r="N109" s="27"/>
      <c r="O109" s="26">
        <f t="shared" si="52"/>
        <v>-1901370</v>
      </c>
      <c r="P109" s="26">
        <f t="shared" si="45"/>
        <v>67576</v>
      </c>
      <c r="Q109" s="26">
        <f t="shared" si="46"/>
        <v>97948</v>
      </c>
      <c r="R109" s="26">
        <f t="shared" si="47"/>
        <v>1910650</v>
      </c>
      <c r="S109" s="36">
        <f t="shared" si="48"/>
        <v>12300965</v>
      </c>
      <c r="T109" s="73"/>
      <c r="U109" s="78"/>
      <c r="V109" s="78"/>
      <c r="W109" s="26"/>
      <c r="X109" s="26"/>
      <c r="Y109" s="26"/>
      <c r="Z109" s="26"/>
      <c r="AA109" s="26"/>
      <c r="AB109" s="26"/>
      <c r="AC109" s="73"/>
      <c r="AD109" s="37">
        <f t="shared" si="53"/>
        <v>97</v>
      </c>
      <c r="AE109" s="6"/>
      <c r="AL109" s="219">
        <f>(1+alloc1*Simulator!E109+alloc2*Simulator!F109+alloc3*Simulator!H109+alloc4*Simulator!J109+alloc5*Simulator!M109)</f>
        <v>1.1257073852757258</v>
      </c>
      <c r="AM109" s="215">
        <f>IF(SUM($AM$13:AM108)&lt;&gt;0,0,IF(O109&lt;0,B109-O108,0))</f>
        <v>0</v>
      </c>
      <c r="AN109" s="12">
        <f t="shared" si="54"/>
        <v>0</v>
      </c>
      <c r="AQ109" s="145"/>
      <c r="AR109" s="145" t="e">
        <f t="shared" si="63"/>
        <v>#N/A</v>
      </c>
      <c r="AS109" s="146" t="e">
        <f t="shared" si="49"/>
        <v>#N/A</v>
      </c>
      <c r="AT109" s="220" t="e">
        <f>IF(AQ109&lt;&gt;0,IF((AT108-B109)*(1+alloc1*Simulator!E109+alloc2*Simulator!F109+alloc3*Simulator!H109+alloc4*Simulator!J109+alloc5*Simulator!M109)&lt;0,NA(),(AT108-B109)*(1+alloc1*Simulator!E109+alloc2*Simulator!F109+alloc3*Simulator!H109+alloc4*Simulator!J109+alloc5*Simulator!M109)),NA())</f>
        <v>#N/A</v>
      </c>
      <c r="AU109" s="219" t="e">
        <f t="shared" si="50"/>
        <v>#N/A</v>
      </c>
      <c r="AV109" s="83">
        <f t="shared" si="55"/>
        <v>4544.40681698974</v>
      </c>
      <c r="AW109" s="85" t="e">
        <f t="shared" si="56"/>
        <v>#DIV/0!</v>
      </c>
      <c r="AX109" s="1">
        <f t="shared" si="57"/>
        <v>3387.4667344735731</v>
      </c>
      <c r="AY109" s="85" t="e">
        <f t="shared" si="58"/>
        <v>#DIV/0!</v>
      </c>
      <c r="AZ109" s="1">
        <f t="shared" si="59"/>
        <v>119831.70911591756</v>
      </c>
      <c r="BA109" s="85" t="e">
        <f t="shared" si="60"/>
        <v>#DIV/0!</v>
      </c>
      <c r="BB109" s="1">
        <f t="shared" si="61"/>
        <v>807636.48071115057</v>
      </c>
      <c r="BC109" s="85" t="e">
        <f t="shared" si="62"/>
        <v>#DIV/0!</v>
      </c>
    </row>
    <row r="110" spans="1:55" hidden="1" x14ac:dyDescent="0.25">
      <c r="A110" s="37">
        <f t="shared" si="51"/>
        <v>98</v>
      </c>
      <c r="B110" s="142">
        <f t="shared" si="64"/>
        <v>20954.89689396906</v>
      </c>
      <c r="C110" s="27"/>
      <c r="D110" s="65">
        <f>IF(E110&lt;&gt;"",E110,_min1)</f>
        <v>0.08</v>
      </c>
      <c r="E110" s="67">
        <v>0.08</v>
      </c>
      <c r="F110" s="67">
        <v>9.1736897771183948E-2</v>
      </c>
      <c r="G110" s="66">
        <f ca="1">IF(F110&lt;&gt;"",F110,NORMINV(RAND(),mean2,stdev2))</f>
        <v>9.1736897771183948E-2</v>
      </c>
      <c r="H110" s="67">
        <v>-6.7558378330098728E-2</v>
      </c>
      <c r="I110" s="66">
        <f ca="1">IF(H110&lt;&gt;"",H110,NORMINV(RAND(),mean3,stdev3))</f>
        <v>-6.7558378330098728E-2</v>
      </c>
      <c r="J110" s="67">
        <v>0.4292751630802038</v>
      </c>
      <c r="K110" s="66">
        <f ca="1">IF(J110&lt;&gt;"",J110,NORMINV(RAND(),mean4,stdev4))</f>
        <v>0.4292751630802038</v>
      </c>
      <c r="L110" s="65">
        <f ca="1">IF(M110&lt;&gt;"",M110,NORMINV(RAND(),mean5,stdev5))</f>
        <v>-2.4592903082419348E-2</v>
      </c>
      <c r="M110" s="67">
        <v>-2.4592903082419348E-2</v>
      </c>
      <c r="N110" s="27"/>
      <c r="O110" s="26">
        <f t="shared" si="52"/>
        <v>-2076111</v>
      </c>
      <c r="P110" s="26">
        <f t="shared" si="45"/>
        <v>73775</v>
      </c>
      <c r="Q110" s="26">
        <f t="shared" si="46"/>
        <v>91331</v>
      </c>
      <c r="R110" s="26">
        <f t="shared" si="47"/>
        <v>2730845</v>
      </c>
      <c r="S110" s="36">
        <f t="shared" si="48"/>
        <v>11998449</v>
      </c>
      <c r="T110" s="73"/>
      <c r="U110" s="78"/>
      <c r="V110" s="78"/>
      <c r="W110" s="26"/>
      <c r="X110" s="26"/>
      <c r="Y110" s="26"/>
      <c r="Z110" s="26"/>
      <c r="AA110" s="26"/>
      <c r="AB110" s="26"/>
      <c r="AC110" s="73"/>
      <c r="AD110" s="37">
        <f t="shared" si="53"/>
        <v>98</v>
      </c>
      <c r="AE110" s="6"/>
      <c r="AL110" s="219">
        <f>(1+alloc1*Simulator!E110+alloc2*Simulator!F110+alloc3*Simulator!H110+alloc4*Simulator!J110+alloc5*Simulator!M110)</f>
        <v>1.076130240110877</v>
      </c>
      <c r="AM110" s="215">
        <f>IF(SUM($AM$13:AM109)&lt;&gt;0,0,IF(O110&lt;0,B110-O109,0))</f>
        <v>0</v>
      </c>
      <c r="AN110" s="12">
        <f t="shared" si="54"/>
        <v>0</v>
      </c>
      <c r="AQ110" s="145"/>
      <c r="AR110" s="145" t="e">
        <f t="shared" si="63"/>
        <v>#N/A</v>
      </c>
      <c r="AS110" s="146" t="e">
        <f t="shared" si="49"/>
        <v>#N/A</v>
      </c>
      <c r="AT110" s="220" t="e">
        <f>IF(AQ110&lt;&gt;0,IF((AT109-B110)*(1+alloc1*Simulator!E110+alloc2*Simulator!F110+alloc3*Simulator!H110+alloc4*Simulator!J110+alloc5*Simulator!M110)&lt;0,NA(),(AT109-B110)*(1+alloc1*Simulator!E110+alloc2*Simulator!F110+alloc3*Simulator!H110+alloc4*Simulator!J110+alloc5*Simulator!M110)),NA())</f>
        <v>#N/A</v>
      </c>
      <c r="AU110" s="219" t="e">
        <f t="shared" si="50"/>
        <v>#N/A</v>
      </c>
      <c r="AV110" s="83">
        <f t="shared" si="55"/>
        <v>4961.2966005905992</v>
      </c>
      <c r="AW110" s="85" t="e">
        <f t="shared" si="56"/>
        <v>#DIV/0!</v>
      </c>
      <c r="AX110" s="1">
        <f t="shared" si="57"/>
        <v>3158.6149752453834</v>
      </c>
      <c r="AY110" s="85" t="e">
        <f t="shared" si="58"/>
        <v>#DIV/0!</v>
      </c>
      <c r="AZ110" s="1">
        <f t="shared" si="59"/>
        <v>171272.48558883261</v>
      </c>
      <c r="BA110" s="85" t="e">
        <f t="shared" si="60"/>
        <v>#DIV/0!</v>
      </c>
      <c r="BB110" s="1">
        <f t="shared" si="61"/>
        <v>787774.35501519497</v>
      </c>
      <c r="BC110" s="85" t="e">
        <f t="shared" si="62"/>
        <v>#DIV/0!</v>
      </c>
    </row>
    <row r="111" spans="1:55" hidden="1" x14ac:dyDescent="0.25">
      <c r="A111" s="37">
        <f t="shared" si="51"/>
        <v>99</v>
      </c>
      <c r="B111" s="142">
        <f t="shared" si="64"/>
        <v>22631.288645486584</v>
      </c>
      <c r="C111" s="74"/>
      <c r="D111" s="65">
        <f>IF(E111&lt;&gt;"",E111,_min1)</f>
        <v>0.08</v>
      </c>
      <c r="E111" s="67">
        <v>0.08</v>
      </c>
      <c r="F111" s="67">
        <v>0.10078489510498172</v>
      </c>
      <c r="G111" s="66">
        <f ca="1">IF(F111&lt;&gt;"",F111,NORMINV(RAND(),mean2,stdev2))</f>
        <v>0.10078489510498172</v>
      </c>
      <c r="H111" s="67">
        <v>7.417770774263574E-3</v>
      </c>
      <c r="I111" s="66">
        <f ca="1">IF(H111&lt;&gt;"",H111,NORMINV(RAND(),mean3,stdev3))</f>
        <v>7.417770774263574E-3</v>
      </c>
      <c r="J111" s="67">
        <v>7.7083014329354799E-3</v>
      </c>
      <c r="K111" s="66">
        <f ca="1">IF(J111&lt;&gt;"",J111,NORMINV(RAND(),mean4,stdev4))</f>
        <v>7.7083014329354799E-3</v>
      </c>
      <c r="L111" s="65">
        <f ca="1">IF(M111&lt;&gt;"",M111,NORMINV(RAND(),mean5,stdev5))</f>
        <v>-0.46064771858274667</v>
      </c>
      <c r="M111" s="67">
        <v>-0.46064771858274667</v>
      </c>
      <c r="N111" s="74"/>
      <c r="O111" s="26">
        <f t="shared" si="52"/>
        <v>-2266642</v>
      </c>
      <c r="P111" s="26">
        <f t="shared" si="45"/>
        <v>81210</v>
      </c>
      <c r="Q111" s="26">
        <f t="shared" si="46"/>
        <v>92008</v>
      </c>
      <c r="R111" s="26">
        <f t="shared" si="47"/>
        <v>2751895</v>
      </c>
      <c r="S111" s="36">
        <f t="shared" si="48"/>
        <v>6471391</v>
      </c>
      <c r="T111" s="73"/>
      <c r="U111" s="78"/>
      <c r="V111" s="78"/>
      <c r="W111" s="26"/>
      <c r="X111" s="26"/>
      <c r="Y111" s="26"/>
      <c r="Z111" s="26"/>
      <c r="AA111" s="26"/>
      <c r="AB111" s="26"/>
      <c r="AC111" s="73"/>
      <c r="AD111" s="37">
        <f t="shared" si="53"/>
        <v>99</v>
      </c>
      <c r="AE111" s="6"/>
      <c r="AL111" s="219">
        <f>(1+alloc1*Simulator!E111+alloc2*Simulator!F111+alloc3*Simulator!H111+alloc4*Simulator!J111+alloc5*Simulator!M111)</f>
        <v>1.0062681019503699</v>
      </c>
      <c r="AM111" s="215">
        <f>IF(SUM($AM$13:AM110)&lt;&gt;0,0,IF(O111&lt;0,B111-O110,0))</f>
        <v>0</v>
      </c>
      <c r="AN111" s="12">
        <f t="shared" si="54"/>
        <v>0</v>
      </c>
      <c r="AQ111" s="145"/>
      <c r="AR111" s="145" t="e">
        <f t="shared" si="63"/>
        <v>#N/A</v>
      </c>
      <c r="AS111" s="146" t="e">
        <f t="shared" si="49"/>
        <v>#N/A</v>
      </c>
      <c r="AT111" s="220" t="e">
        <f>IF(AQ111&lt;&gt;0,IF((AT110-B111)*(1+alloc1*Simulator!E111+alloc2*Simulator!F111+alloc3*Simulator!H111+alloc4*Simulator!J111+alloc5*Simulator!M111)&lt;0,NA(),(AT110-B111)*(1+alloc1*Simulator!E111+alloc2*Simulator!F111+alloc3*Simulator!H111+alloc4*Simulator!J111+alloc5*Simulator!M111)),NA())</f>
        <v>#N/A</v>
      </c>
      <c r="AU111" s="219" t="e">
        <f t="shared" si="50"/>
        <v>#N/A</v>
      </c>
      <c r="AV111" s="83">
        <f t="shared" si="55"/>
        <v>5461.3203580658246</v>
      </c>
      <c r="AW111" s="85" t="e">
        <f t="shared" si="56"/>
        <v>#DIV/0!</v>
      </c>
      <c r="AX111" s="1">
        <f t="shared" si="57"/>
        <v>3182.0448570959097</v>
      </c>
      <c r="AY111" s="85" t="e">
        <f t="shared" si="58"/>
        <v>#DIV/0!</v>
      </c>
      <c r="AZ111" s="1">
        <f t="shared" si="59"/>
        <v>172592.70553491946</v>
      </c>
      <c r="BA111" s="85" t="e">
        <f t="shared" si="60"/>
        <v>#DIV/0!</v>
      </c>
      <c r="BB111" s="1">
        <f t="shared" si="61"/>
        <v>424887.89561945066</v>
      </c>
      <c r="BC111" s="85" t="e">
        <f t="shared" si="62"/>
        <v>#DIV/0!</v>
      </c>
    </row>
    <row r="112" spans="1:55" x14ac:dyDescent="0.25">
      <c r="AQ112" s="145"/>
      <c r="AR112" s="145"/>
      <c r="AS112" s="145"/>
      <c r="AT112" s="145"/>
    </row>
    <row r="113" spans="15:46" x14ac:dyDescent="0.25">
      <c r="AQ113" s="145"/>
      <c r="AR113" s="145"/>
      <c r="AS113" s="145"/>
      <c r="AT113" s="145"/>
    </row>
    <row r="115" spans="15:46" x14ac:dyDescent="0.25">
      <c r="W115" s="4"/>
    </row>
    <row r="120" spans="15:46" x14ac:dyDescent="0.25">
      <c r="O120" s="228"/>
    </row>
  </sheetData>
  <sheetProtection sheet="1" objects="1" scenarios="1"/>
  <mergeCells count="23">
    <mergeCell ref="U10:V10"/>
    <mergeCell ref="W10:X10"/>
    <mergeCell ref="E3:M3"/>
    <mergeCell ref="W8:X8"/>
    <mergeCell ref="W9:X9"/>
    <mergeCell ref="U8:V8"/>
    <mergeCell ref="U9:V9"/>
    <mergeCell ref="AA7:AB7"/>
    <mergeCell ref="D6:M6"/>
    <mergeCell ref="O6:S6"/>
    <mergeCell ref="U6:AB6"/>
    <mergeCell ref="Y7:Z7"/>
    <mergeCell ref="W7:X7"/>
    <mergeCell ref="U7:V7"/>
    <mergeCell ref="BB10:BC10"/>
    <mergeCell ref="AV10:AW10"/>
    <mergeCell ref="AZ10:BA10"/>
    <mergeCell ref="Y8:Z8"/>
    <mergeCell ref="Y9:Z9"/>
    <mergeCell ref="AA8:AB8"/>
    <mergeCell ref="AA9:AB9"/>
    <mergeCell ref="Y10:Z10"/>
    <mergeCell ref="AA10:AB10"/>
  </mergeCells>
  <phoneticPr fontId="2" type="noConversion"/>
  <conditionalFormatting sqref="T13:T43 T46:T111">
    <cfRule type="expression" dxfId="12" priority="7" stopIfTrue="1">
      <formula>AD13="Hide"</formula>
    </cfRule>
  </conditionalFormatting>
  <conditionalFormatting sqref="T13:T43 T46:T111">
    <cfRule type="expression" dxfId="11" priority="6" stopIfTrue="1">
      <formula>V13="Hide"</formula>
    </cfRule>
  </conditionalFormatting>
  <conditionalFormatting sqref="AC13:AC111 N44:N45 T44:T45 C44:C45">
    <cfRule type="expression" dxfId="10" priority="33" stopIfTrue="1">
      <formula>D13="Hide"</formula>
    </cfRule>
  </conditionalFormatting>
  <conditionalFormatting sqref="D13:D111">
    <cfRule type="expression" dxfId="9" priority="37" stopIfTrue="1">
      <formula>$AE13=1</formula>
    </cfRule>
  </conditionalFormatting>
  <conditionalFormatting sqref="U13:V111">
    <cfRule type="cellIs" dxfId="8" priority="40" stopIfTrue="1" operator="equal">
      <formula>0</formula>
    </cfRule>
    <cfRule type="expression" dxfId="7" priority="41" stopIfTrue="1">
      <formula>$P14&lt;0</formula>
    </cfRule>
  </conditionalFormatting>
  <conditionalFormatting sqref="Y13:Z111">
    <cfRule type="cellIs" dxfId="6" priority="42" stopIfTrue="1" operator="equal">
      <formula>0</formula>
    </cfRule>
    <cfRule type="expression" dxfId="5" priority="43" stopIfTrue="1">
      <formula>$R14&lt;0</formula>
    </cfRule>
  </conditionalFormatting>
  <conditionalFormatting sqref="W13:X111">
    <cfRule type="cellIs" dxfId="4" priority="44" stopIfTrue="1" operator="equal">
      <formula>0</formula>
    </cfRule>
    <cfRule type="expression" dxfId="3" priority="45" stopIfTrue="1">
      <formula>$Q14&lt;0</formula>
    </cfRule>
  </conditionalFormatting>
  <conditionalFormatting sqref="AA13:AB111">
    <cfRule type="cellIs" dxfId="2" priority="46" stopIfTrue="1" operator="equal">
      <formula>0</formula>
    </cfRule>
    <cfRule type="expression" dxfId="1" priority="47" stopIfTrue="1">
      <formula>$S14&lt;0</formula>
    </cfRule>
  </conditionalFormatting>
  <conditionalFormatting sqref="O5:S5">
    <cfRule type="expression" dxfId="0" priority="61" stopIfTrue="1">
      <formula>$S$4=$AO$5-1</formula>
    </cfRule>
  </conditionalFormatting>
  <dataValidations disablePrompts="1" count="5">
    <dataValidation type="list" allowBlank="1" showInputMessage="1" showErrorMessage="1" sqref="T11 AC11" xr:uid="{00000000-0002-0000-0200-000000000000}">
      <formula1>#REF!</formula1>
    </dataValidation>
    <dataValidation type="list" allowBlank="1" showInputMessage="1" showErrorMessage="1" sqref="AB11" xr:uid="{00000000-0002-0000-0200-000001000000}">
      <formula1>$AO$9:$AO$11</formula1>
    </dataValidation>
    <dataValidation type="list" allowBlank="1" showInputMessage="1" showErrorMessage="1" sqref="V11" xr:uid="{00000000-0002-0000-0200-000002000000}">
      <formula1>$AO$10:$AO$12</formula1>
    </dataValidation>
    <dataValidation type="list" allowBlank="1" showInputMessage="1" showErrorMessage="1" sqref="X11" xr:uid="{00000000-0002-0000-0200-000003000000}">
      <formula1>$AO$15:$AO$17</formula1>
    </dataValidation>
    <dataValidation type="list" allowBlank="1" showInputMessage="1" showErrorMessage="1" sqref="Z11" xr:uid="{00000000-0002-0000-0200-000004000000}">
      <formula1>$AO$19:$AO$21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42" r:id="rId4" name="CommandButton2">
          <controlPr defaultSize="0" autoLine="0" r:id="rId5">
            <anchor moveWithCells="1">
              <from>
                <xdr:col>70</xdr:col>
                <xdr:colOff>0</xdr:colOff>
                <xdr:row>4</xdr:row>
                <xdr:rowOff>0</xdr:rowOff>
              </from>
              <to>
                <xdr:col>72</xdr:col>
                <xdr:colOff>609600</xdr:colOff>
                <xdr:row>5</xdr:row>
                <xdr:rowOff>137160</xdr:rowOff>
              </to>
            </anchor>
          </controlPr>
        </control>
      </mc:Choice>
      <mc:Fallback>
        <control shapeId="1142" r:id="rId4" name="CommandButton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27"/>
  <sheetViews>
    <sheetView zoomScale="70" workbookViewId="0">
      <selection activeCell="W25" sqref="W25"/>
    </sheetView>
  </sheetViews>
  <sheetFormatPr defaultRowHeight="13.2" x14ac:dyDescent="0.25"/>
  <sheetData>
    <row r="1" spans="1:15" ht="15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97"/>
      <c r="L1" s="97"/>
      <c r="M1" s="97"/>
      <c r="N1" s="97"/>
      <c r="O1" s="97"/>
    </row>
    <row r="2" spans="1:15" ht="15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97"/>
      <c r="L2" s="97"/>
      <c r="M2" s="97"/>
      <c r="N2" s="97"/>
      <c r="O2" s="97"/>
    </row>
    <row r="3" spans="1:15" ht="15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97"/>
      <c r="L3" s="97"/>
      <c r="M3" s="97"/>
      <c r="N3" s="97"/>
      <c r="O3" s="97"/>
    </row>
    <row r="4" spans="1:15" ht="15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97"/>
      <c r="L4" s="97"/>
      <c r="M4" s="97"/>
      <c r="N4" s="97"/>
      <c r="O4" s="97"/>
    </row>
    <row r="5" spans="1:15" ht="1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97"/>
      <c r="L5" s="97"/>
      <c r="M5" s="97"/>
      <c r="N5" s="97"/>
      <c r="O5" s="97"/>
    </row>
    <row r="6" spans="1:15" ht="15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97"/>
      <c r="L6" s="97"/>
      <c r="M6" s="97"/>
      <c r="N6" s="97"/>
      <c r="O6" s="97"/>
    </row>
    <row r="12" spans="1:15" x14ac:dyDescent="0.25">
      <c r="A12" s="97"/>
    </row>
    <row r="20" spans="1:12" ht="15" x14ac:dyDescent="0.25">
      <c r="B20" s="107"/>
      <c r="C20" s="107"/>
      <c r="D20" s="107"/>
      <c r="E20" s="107"/>
      <c r="F20" s="107"/>
    </row>
    <row r="21" spans="1:12" ht="15" x14ac:dyDescent="0.25">
      <c r="B21" s="107"/>
      <c r="C21" s="107"/>
      <c r="D21" s="107"/>
      <c r="E21" s="107"/>
      <c r="F21" s="107"/>
      <c r="H21" s="82"/>
    </row>
    <row r="22" spans="1:12" ht="15" x14ac:dyDescent="0.25">
      <c r="B22" s="107"/>
      <c r="C22" s="107"/>
      <c r="D22" s="107"/>
      <c r="E22" s="107"/>
      <c r="F22" s="107"/>
      <c r="L22" s="79"/>
    </row>
    <row r="23" spans="1:12" x14ac:dyDescent="0.25">
      <c r="A23" s="79"/>
    </row>
    <row r="26" spans="1:12" x14ac:dyDescent="0.25">
      <c r="H26" s="82"/>
    </row>
    <row r="27" spans="1:12" x14ac:dyDescent="0.25">
      <c r="J27" s="79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P34"/>
  <sheetViews>
    <sheetView workbookViewId="0">
      <selection activeCell="K14" sqref="K14"/>
    </sheetView>
  </sheetViews>
  <sheetFormatPr defaultRowHeight="13.2" x14ac:dyDescent="0.25"/>
  <sheetData>
    <row r="1" spans="1:10" x14ac:dyDescent="0.25">
      <c r="A1" s="79" t="s">
        <v>86</v>
      </c>
    </row>
    <row r="2" spans="1:10" x14ac:dyDescent="0.25">
      <c r="A2" t="s">
        <v>84</v>
      </c>
    </row>
    <row r="3" spans="1:10" x14ac:dyDescent="0.25">
      <c r="A3" t="s">
        <v>97</v>
      </c>
    </row>
    <row r="4" spans="1:10" x14ac:dyDescent="0.25">
      <c r="A4" t="s">
        <v>81</v>
      </c>
      <c r="J4" s="210" t="s">
        <v>150</v>
      </c>
    </row>
    <row r="5" spans="1:10" x14ac:dyDescent="0.25">
      <c r="A5" t="s">
        <v>82</v>
      </c>
    </row>
    <row r="6" spans="1:10" x14ac:dyDescent="0.25">
      <c r="A6" t="s">
        <v>83</v>
      </c>
    </row>
    <row r="7" spans="1:10" x14ac:dyDescent="0.25">
      <c r="A7" t="s">
        <v>98</v>
      </c>
    </row>
    <row r="8" spans="1:10" x14ac:dyDescent="0.25">
      <c r="A8" t="s">
        <v>92</v>
      </c>
    </row>
    <row r="9" spans="1:10" x14ac:dyDescent="0.25">
      <c r="A9" t="s">
        <v>91</v>
      </c>
    </row>
    <row r="10" spans="1:10" x14ac:dyDescent="0.25">
      <c r="A10" t="s">
        <v>148</v>
      </c>
    </row>
    <row r="11" spans="1:10" x14ac:dyDescent="0.25">
      <c r="A11" t="s">
        <v>93</v>
      </c>
    </row>
    <row r="12" spans="1:10" x14ac:dyDescent="0.25">
      <c r="A12" t="s">
        <v>151</v>
      </c>
    </row>
    <row r="13" spans="1:10" x14ac:dyDescent="0.25">
      <c r="A13" t="s">
        <v>152</v>
      </c>
    </row>
    <row r="14" spans="1:10" x14ac:dyDescent="0.25">
      <c r="A14" t="s">
        <v>153</v>
      </c>
    </row>
    <row r="15" spans="1:10" x14ac:dyDescent="0.25">
      <c r="A15" t="s">
        <v>149</v>
      </c>
    </row>
    <row r="16" spans="1:10" x14ac:dyDescent="0.25">
      <c r="A16" t="s">
        <v>154</v>
      </c>
    </row>
    <row r="17" spans="1:16" x14ac:dyDescent="0.25">
      <c r="A17" t="s">
        <v>155</v>
      </c>
    </row>
    <row r="19" spans="1:16" x14ac:dyDescent="0.25">
      <c r="A19" s="79" t="s">
        <v>156</v>
      </c>
    </row>
    <row r="21" spans="1:16" x14ac:dyDescent="0.25">
      <c r="A21" s="94" t="s">
        <v>85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x14ac:dyDescent="0.25">
      <c r="A22" s="96" t="s">
        <v>94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x14ac:dyDescent="0.25">
      <c r="A23" s="96" t="s">
        <v>95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x14ac:dyDescent="0.25">
      <c r="A24" s="96" t="s">
        <v>87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x14ac:dyDescent="0.25">
      <c r="A25" s="96" t="s">
        <v>96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x14ac:dyDescent="0.25">
      <c r="A26" s="94" t="s">
        <v>88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x14ac:dyDescent="0.25">
      <c r="A27" s="96" t="s">
        <v>89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x14ac:dyDescent="0.25">
      <c r="A28" s="96" t="s">
        <v>90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x14ac:dyDescent="0.25">
      <c r="A29" s="93"/>
    </row>
    <row r="30" spans="1:16" x14ac:dyDescent="0.25">
      <c r="A30" s="93"/>
    </row>
    <row r="31" spans="1:16" x14ac:dyDescent="0.25">
      <c r="A31" s="79" t="s">
        <v>80</v>
      </c>
    </row>
    <row r="32" spans="1:16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</sheetData>
  <phoneticPr fontId="6" type="noConversion"/>
  <hyperlinks>
    <hyperlink ref="J4" r:id="rId1" xr:uid="{00000000-0004-0000-04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Inputs</vt:lpstr>
      <vt:lpstr>Instructions - Simulator sheet</vt:lpstr>
      <vt:lpstr>Simulator</vt:lpstr>
      <vt:lpstr>Example results</vt:lpstr>
      <vt:lpstr>Read me whenever!</vt:lpstr>
      <vt:lpstr>_max1</vt:lpstr>
      <vt:lpstr>_min1</vt:lpstr>
      <vt:lpstr>_min2</vt:lpstr>
      <vt:lpstr>_min3</vt:lpstr>
      <vt:lpstr>_min4</vt:lpstr>
      <vt:lpstr>_min5</vt:lpstr>
      <vt:lpstr>alloc1</vt:lpstr>
      <vt:lpstr>alloc2</vt:lpstr>
      <vt:lpstr>alloc3</vt:lpstr>
      <vt:lpstr>alloc4</vt:lpstr>
      <vt:lpstr>alloc5</vt:lpstr>
      <vt:lpstr>income</vt:lpstr>
      <vt:lpstr>incrate</vt:lpstr>
      <vt:lpstr>k</vt:lpstr>
      <vt:lpstr>mean2</vt:lpstr>
      <vt:lpstr>mean3</vt:lpstr>
      <vt:lpstr>mean4</vt:lpstr>
      <vt:lpstr>mean5</vt:lpstr>
      <vt:lpstr>pension</vt:lpstr>
      <vt:lpstr>prepen1</vt:lpstr>
      <vt:lpstr>retroi</vt:lpstr>
      <vt:lpstr>rinf</vt:lpstr>
      <vt:lpstr>stdev2</vt:lpstr>
      <vt:lpstr>stdev3</vt:lpstr>
      <vt:lpstr>stdev4</vt:lpstr>
      <vt:lpstr>stdev5</vt:lpstr>
      <vt:lpstr>trans2</vt:lpstr>
      <vt:lpstr>trans3</vt:lpstr>
      <vt:lpstr>trans4</vt:lpstr>
      <vt:lpstr>trans5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Admin</cp:lastModifiedBy>
  <dcterms:created xsi:type="dcterms:W3CDTF">2013-03-18T23:45:10Z</dcterms:created>
  <dcterms:modified xsi:type="dcterms:W3CDTF">2023-03-22T08:25:19Z</dcterms:modified>
</cp:coreProperties>
</file>